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2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2\"/>
    </mc:Choice>
  </mc:AlternateContent>
  <workbookProtection lockStructure="1"/>
  <bookViews>
    <workbookView xWindow="-120" yWindow="-120" windowWidth="29040" windowHeight="15720"/>
  </bookViews>
  <sheets>
    <sheet name="Kantone" sheetId="28" r:id="rId1"/>
    <sheet name="Uebersetzungen" sheetId="29" state="hidden" r:id="rId2"/>
  </sheets>
  <definedNames>
    <definedName name="_xlnm.Print_Area" localSheetId="0">Kantone!$A$1:$O$51</definedName>
  </definedNames>
  <calcPr calcId="162913"/>
</workbook>
</file>

<file path=xl/calcChain.xml><?xml version="1.0" encoding="utf-8"?>
<calcChain xmlns="http://schemas.openxmlformats.org/spreadsheetml/2006/main">
  <c r="O15" i="28" l="1"/>
  <c r="N15" i="28"/>
  <c r="M15" i="28"/>
  <c r="M14" i="28"/>
  <c r="L14" i="28"/>
  <c r="D14" i="28"/>
  <c r="J15" i="28"/>
  <c r="L13" i="28"/>
  <c r="B13" i="28"/>
  <c r="H15" i="28"/>
  <c r="F15" i="28"/>
  <c r="F14" i="28"/>
  <c r="G16" i="28"/>
  <c r="F16" i="28"/>
  <c r="E16" i="28"/>
  <c r="D16" i="28"/>
  <c r="K16" i="28"/>
  <c r="J16" i="28"/>
  <c r="I16" i="28"/>
  <c r="H16" i="28"/>
  <c r="A48" i="28" l="1"/>
  <c r="A47" i="28"/>
  <c r="A46" i="28"/>
  <c r="A9" i="28"/>
  <c r="A7" i="28"/>
  <c r="C16" i="28"/>
  <c r="B16" i="28"/>
  <c r="B14" i="28" l="1"/>
  <c r="A51" i="28"/>
  <c r="A50" i="28"/>
  <c r="A45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0" i="28"/>
</calcChain>
</file>

<file path=xl/sharedStrings.xml><?xml version="1.0" encoding="utf-8"?>
<sst xmlns="http://schemas.openxmlformats.org/spreadsheetml/2006/main" count="216" uniqueCount="182">
  <si>
    <t>Total</t>
  </si>
  <si>
    <t>Anzahl Personen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</si>
  <si>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</si>
  <si>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</si>
  <si>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</si>
  <si>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</si>
  <si>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</si>
  <si>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</si>
  <si>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</si>
  <si>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</si>
  <si>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</si>
  <si>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</si>
  <si>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</si>
  <si>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</si>
  <si>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</si>
  <si>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</si>
  <si>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</si>
  <si>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Aargau</t>
  </si>
  <si>
    <t>Thurgau</t>
  </si>
  <si>
    <t>Jura</t>
  </si>
  <si>
    <t>Bern</t>
  </si>
  <si>
    <t>Freiburg</t>
  </si>
  <si>
    <t>Graubünden</t>
  </si>
  <si>
    <t>Wallis</t>
  </si>
  <si>
    <t>Tessin</t>
  </si>
  <si>
    <t>Waadt</t>
  </si>
  <si>
    <t>Neuenburg</t>
  </si>
  <si>
    <t>Genf</t>
  </si>
  <si>
    <t>Tabelle</t>
  </si>
  <si>
    <t>Code</t>
  </si>
  <si>
    <t>DE</t>
  </si>
  <si>
    <t>RM</t>
  </si>
  <si>
    <t>IT</t>
  </si>
  <si>
    <t>Sprache</t>
  </si>
  <si>
    <t>T1</t>
  </si>
  <si>
    <t>&lt;Fachbereich&gt;</t>
  </si>
  <si>
    <t>Daten &amp; Statistik</t>
  </si>
  <si>
    <t>Datas &amp; Statistica</t>
  </si>
  <si>
    <t>Dati &amp; Statistica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</si>
  <si>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</si>
  <si>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</si>
  <si>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</si>
  <si>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</si>
  <si>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</si>
  <si>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</si>
  <si>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</si>
  <si>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</si>
  <si>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</si>
  <si>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</si>
  <si>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</si>
  <si>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</si>
  <si>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</si>
  <si>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</si>
  <si>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</si>
  <si>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</si>
  <si>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&lt;Aktualisierung&gt;</t>
  </si>
  <si>
    <t>&lt;UTitel&gt;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</si>
  <si>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</si>
  <si>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</si>
  <si>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</si>
  <si>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</si>
  <si>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</si>
  <si>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</si>
  <si>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</si>
  <si>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</si>
  <si>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</si>
  <si>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</si>
  <si>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</si>
  <si>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</si>
  <si>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</si>
  <si>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</si>
  <si>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</si>
  <si>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</si>
  <si>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</si>
  <si>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</si>
  <si>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</si>
  <si>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&lt;Quelle_1&gt;</t>
  </si>
  <si>
    <t>T1-2</t>
  </si>
  <si>
    <t>&lt;SpaltenTitel_1.1&gt;</t>
  </si>
  <si>
    <t>&lt;SpaltenTitel_1.2&gt;</t>
  </si>
  <si>
    <t>&lt;SpaltenTitel_3.1&gt;</t>
  </si>
  <si>
    <t>&lt;SpaltenTitel_3.2&gt;</t>
  </si>
  <si>
    <t>Totale</t>
  </si>
  <si>
    <t>Numero di persone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</si>
  <si>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</si>
  <si>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</si>
  <si>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</si>
  <si>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</si>
  <si>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</si>
  <si>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</si>
  <si>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</si>
  <si>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</si>
  <si>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Friborgo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</si>
  <si>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</si>
  <si>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</si>
  <si>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</si>
  <si>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</si>
  <si>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</si>
  <si>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</si>
  <si>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</si>
  <si>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</si>
  <si>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</si>
  <si>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</si>
  <si>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</si>
  <si>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Vaud</t>
  </si>
  <si>
    <t>Vallese</t>
  </si>
  <si>
    <t>Neuchâtel</t>
  </si>
  <si>
    <t>Ginevra</t>
  </si>
  <si>
    <t>Giura</t>
  </si>
  <si>
    <t>Sviz</t>
  </si>
  <si>
    <t>Soloturn</t>
  </si>
  <si>
    <t>Friburg</t>
  </si>
  <si>
    <t>Glaruna</t>
  </si>
  <si>
    <t>Schaffusa</t>
  </si>
  <si>
    <t>Sutsilvania</t>
  </si>
  <si>
    <t>Sursilvania</t>
  </si>
  <si>
    <t>Turitg</t>
  </si>
  <si>
    <t>Basilea-Citad</t>
  </si>
  <si>
    <t>Basilea-Champagna</t>
  </si>
  <si>
    <t>Appenzell Dadora</t>
  </si>
  <si>
    <t>Appenzell Dadens</t>
  </si>
  <si>
    <t>Son Gagl</t>
  </si>
  <si>
    <t>Genevra</t>
  </si>
  <si>
    <t>Vallais</t>
  </si>
  <si>
    <t>Vad</t>
  </si>
  <si>
    <t>Grischun</t>
  </si>
  <si>
    <t>Dumber da persunas</t>
  </si>
  <si>
    <t>&lt;SpaltenTitel_3.3&gt;</t>
  </si>
  <si>
    <t>&lt;SpaltenTitel_4&gt;</t>
  </si>
  <si>
    <t>&lt;SpaltenTitel_5&gt;</t>
  </si>
  <si>
    <t>&lt;SpaltenTitel_5.1&gt;</t>
  </si>
  <si>
    <t>&lt;SpaltenTitel_5.2&gt;</t>
  </si>
  <si>
    <t>&lt;SpaltenTitel_5.3&gt;</t>
  </si>
  <si>
    <t>Ständige Wohnbevölkerung ab 15 Jahren</t>
  </si>
  <si>
    <t>Populaziun residenta permanenta a partir da 15 onns</t>
  </si>
  <si>
    <t>Popolazione residente permanente di 15 anni e più</t>
  </si>
  <si>
    <t>Migrationsstatus nach Kanton</t>
  </si>
  <si>
    <t>&lt;ObSpaltenTitel_1&gt;</t>
  </si>
  <si>
    <t>&lt;ObSpaltenTitel_2&gt;</t>
  </si>
  <si>
    <t>in Tausend</t>
  </si>
  <si>
    <t>in %</t>
  </si>
  <si>
    <t>Total*</t>
  </si>
  <si>
    <t>Bevölkerung ohne Migrationshintergrund</t>
  </si>
  <si>
    <t>Bevölkerung mit Migrationshintergrund</t>
  </si>
  <si>
    <t>1. Generation</t>
  </si>
  <si>
    <t>2. Generation</t>
  </si>
  <si>
    <t>Vertrauens- intervall: ± (in %) **</t>
  </si>
  <si>
    <t>** Grenzen des 95%-Vertrauensintervalls</t>
  </si>
  <si>
    <t>*  Inklusive Personen, deren Migrationsstatus nicht bestimmbar ist</t>
  </si>
  <si>
    <t>(Zahl): Statistisch nur bedingt zuverlässig</t>
  </si>
  <si>
    <t xml:space="preserve">X: Extrapolation auf weniger als 5 Beobachtungen beruhend; die Ergebnisse werden aus Datenschutzgründen nicht publiziert </t>
  </si>
  <si>
    <t>Quelle: BFS (SAKE)</t>
  </si>
  <si>
    <t>Funtauna: UST (SAKE)</t>
  </si>
  <si>
    <t>Fonte: UST (SAKE)</t>
  </si>
  <si>
    <t>in migliaia</t>
  </si>
  <si>
    <t>en milli</t>
  </si>
  <si>
    <t>en %</t>
  </si>
  <si>
    <t>Status da migraziun tenor il chantun</t>
  </si>
  <si>
    <t>Statuto migratorio per cantone</t>
  </si>
  <si>
    <t>Popolazione senza passato migratorio</t>
  </si>
  <si>
    <t>Popolazione con passato migratorio</t>
  </si>
  <si>
    <t>Totale*</t>
  </si>
  <si>
    <t>Populaziun cun il passà da migraziun</t>
  </si>
  <si>
    <t>Populaziun senza il passà da migraziun</t>
  </si>
  <si>
    <t>1a generazione</t>
  </si>
  <si>
    <t>2a generazione</t>
  </si>
  <si>
    <t>1. generaziun</t>
  </si>
  <si>
    <t>2. generaziun</t>
  </si>
  <si>
    <t>** Cunfins da l' interval da confidenza da 95%</t>
  </si>
  <si>
    <t>*  Inclus persunas, da las qualas il status da migraziun n' è betg determinabel</t>
  </si>
  <si>
    <t>(Cifra): Statistica mo absolutamain fidaivel</t>
  </si>
  <si>
    <t>X: Extrapolaziun sa basa sin main che 5 observaziuns; ils resultats na vegnan betg publitgads per motivs da la protecziun da datas</t>
  </si>
  <si>
    <t>** Limiti dell' intervallo di confidenza del 95%</t>
  </si>
  <si>
    <t>X: estrapolazione basata su meno di 5 osservazioni; i risultati non sono pubblicati per motivi di protezione dei dati</t>
  </si>
  <si>
    <t>*  Incluse le persone il cui status migratorio non è determinabile</t>
  </si>
  <si>
    <t>(Cifre): Statistica affidabile solo in parte</t>
  </si>
  <si>
    <t>Bevölkerung ohne Migrations-hintergrund</t>
  </si>
  <si>
    <t>Interval da confidenza: ± (en %) **</t>
  </si>
  <si>
    <t>Intervallo di confidenza: ± (in %) **</t>
  </si>
  <si>
    <t>Letztmals aktualisiert am: 10.10.2024</t>
  </si>
  <si>
    <t>Ultima actualisaziun: 10.10.2024</t>
  </si>
  <si>
    <t>Ulimo aggiornamento: 10.10.2024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</si>
</sst>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0" formatCode="* #,###"/>
    <numFmt numFmtId="171" formatCode="\(0\)"/>
    <numFmt numFmtId="172" formatCode="* #,###.0"/>
    <numFmt numFmtId="173" formatCode="#\ ###\ ##0\ ;\-#\ ###\ ##0\ ;0\ ;@\ "/>
    <numFmt numFmtId="174" formatCode="\X"/>
  </numFmts>
  <fonts count="1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b/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99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2" fillId="3" borderId="0" xfId="0" applyFont="1" applyFill="1" applyAlignment="1">
      <alignment horizontal="left" vertical="center"/>
    </xf>
    <xf numFmtId="0" fontId="2" fillId="2" borderId="0" xfId="0" applyFont="1" applyFill="1"/>
    <xf numFmtId="3" fontId="2" fillId="0" borderId="0" xfId="0" applyNumberFormat="1" applyFont="1"/>
    <xf numFmtId="169" fontId="2" fillId="0" borderId="0" xfId="0" applyNumberFormat="1" applyFont="1"/>
    <xf numFmtId="0" fontId="0" fillId="4" borderId="0" xfId="0" applyFill="1"/>
    <xf numFmtId="0" fontId="15" fillId="4" borderId="0" xfId="0" applyFont="1" applyFill="1"/>
    <xf numFmtId="0" fontId="12" fillId="3" borderId="2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3" fontId="3" fillId="5" borderId="16" xfId="3" applyNumberFormat="1" applyFont="1" applyFill="1" applyBorder="1" applyAlignment="1" applyProtection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3" fillId="4" borderId="0" xfId="0" applyFont="1" applyFill="1" applyBorder="1"/>
    <xf numFmtId="0" fontId="12" fillId="4" borderId="16" xfId="1" applyNumberFormat="1" applyFont="1" applyFill="1" applyBorder="1" applyAlignment="1" applyProtection="1">
      <alignment horizontal="right" vertical="top" wrapText="1"/>
    </xf>
    <xf numFmtId="0" fontId="12" fillId="4" borderId="3" xfId="1" applyNumberFormat="1" applyFont="1" applyFill="1" applyBorder="1" applyAlignment="1" applyProtection="1">
      <alignment horizontal="right" vertical="top" wrapText="1"/>
    </xf>
    <xf numFmtId="0" fontId="12" fillId="4" borderId="7" xfId="1" applyNumberFormat="1" applyFont="1" applyFill="1" applyBorder="1" applyAlignment="1" applyProtection="1">
      <alignment horizontal="right" vertical="top" wrapText="1"/>
    </xf>
    <xf numFmtId="0" fontId="12" fillId="4" borderId="8" xfId="1" applyNumberFormat="1" applyFont="1" applyFill="1" applyBorder="1" applyAlignment="1" applyProtection="1">
      <alignment horizontal="right" vertical="top" wrapText="1"/>
    </xf>
    <xf numFmtId="167" fontId="11" fillId="4" borderId="14" xfId="3" applyNumberFormat="1" applyFont="1" applyFill="1" applyBorder="1" applyAlignment="1" applyProtection="1">
      <alignment horizontal="right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left" vertical="top" wrapText="1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left"/>
    </xf>
    <xf numFmtId="0" fontId="17" fillId="5" borderId="13" xfId="0" applyFont="1" applyFill="1" applyBorder="1" applyAlignment="1">
      <alignment horizontal="left"/>
    </xf>
    <xf numFmtId="0" fontId="17" fillId="5" borderId="14" xfId="0" applyFont="1" applyFill="1" applyBorder="1" applyAlignment="1">
      <alignment horizontal="left"/>
    </xf>
    <xf numFmtId="0" fontId="13" fillId="5" borderId="29" xfId="0" applyFont="1" applyFill="1" applyBorder="1" applyAlignment="1">
      <alignment horizontal="center" vertical="center" wrapText="1"/>
    </xf>
    <xf numFmtId="172" fontId="11" fillId="4" borderId="35" xfId="3" applyNumberFormat="1" applyFont="1" applyFill="1" applyBorder="1" applyAlignment="1" applyProtection="1">
      <alignment horizontal="right" vertical="center" wrapText="1"/>
    </xf>
    <xf numFmtId="170" fontId="11" fillId="0" borderId="35" xfId="3" applyNumberFormat="1" applyFont="1" applyFill="1" applyBorder="1" applyAlignment="1" applyProtection="1">
      <alignment horizontal="right" vertical="center" wrapText="1"/>
    </xf>
    <xf numFmtId="167" fontId="11" fillId="0" borderId="13" xfId="3" applyNumberFormat="1" applyFont="1" applyFill="1" applyBorder="1" applyAlignment="1" applyProtection="1">
      <alignment horizontal="right" vertical="center" wrapText="1"/>
    </xf>
    <xf numFmtId="167" fontId="11" fillId="0" borderId="14" xfId="3" applyNumberFormat="1" applyFont="1" applyFill="1" applyBorder="1" applyAlignment="1" applyProtection="1">
      <alignment horizontal="right" vertical="center" wrapText="1"/>
    </xf>
    <xf numFmtId="167" fontId="2" fillId="0" borderId="23" xfId="0" applyNumberFormat="1" applyFont="1" applyFill="1" applyBorder="1" applyAlignment="1">
      <alignment horizontal="right" wrapText="1"/>
    </xf>
    <xf numFmtId="167" fontId="2" fillId="0" borderId="21" xfId="0" applyNumberFormat="1" applyFont="1" applyFill="1" applyBorder="1" applyAlignment="1">
      <alignment horizontal="right" wrapText="1"/>
    </xf>
    <xf numFmtId="167" fontId="2" fillId="5" borderId="23" xfId="0" applyNumberFormat="1" applyFont="1" applyFill="1" applyBorder="1" applyAlignment="1">
      <alignment horizontal="right" wrapText="1"/>
    </xf>
    <xf numFmtId="167" fontId="11" fillId="4" borderId="36" xfId="3" applyNumberFormat="1" applyFont="1" applyFill="1" applyBorder="1" applyAlignment="1" applyProtection="1">
      <alignment horizontal="right" vertical="center" wrapText="1"/>
    </xf>
    <xf numFmtId="168" fontId="2" fillId="0" borderId="23" xfId="0" applyNumberFormat="1" applyFont="1" applyFill="1" applyBorder="1" applyAlignment="1">
      <alignment horizontal="right" wrapText="1"/>
    </xf>
    <xf numFmtId="167" fontId="11" fillId="0" borderId="25" xfId="3" applyNumberFormat="1" applyFont="1" applyFill="1" applyBorder="1" applyAlignment="1" applyProtection="1">
      <alignment horizontal="right" vertical="center" wrapText="1"/>
    </xf>
    <xf numFmtId="170" fontId="11" fillId="0" borderId="37" xfId="3" applyNumberFormat="1" applyFont="1" applyFill="1" applyBorder="1" applyAlignment="1" applyProtection="1">
      <alignment horizontal="right" vertical="center" wrapText="1"/>
    </xf>
    <xf numFmtId="173" fontId="2" fillId="0" borderId="38" xfId="0" applyNumberFormat="1" applyFont="1" applyFill="1" applyBorder="1" applyAlignment="1">
      <alignment horizontal="right" wrapText="1"/>
    </xf>
    <xf numFmtId="173" fontId="2" fillId="5" borderId="38" xfId="0" applyNumberFormat="1" applyFont="1" applyFill="1" applyBorder="1" applyAlignment="1">
      <alignment horizontal="right" wrapText="1"/>
    </xf>
    <xf numFmtId="173" fontId="2" fillId="0" borderId="39" xfId="0" applyNumberFormat="1" applyFont="1" applyFill="1" applyBorder="1" applyAlignment="1">
      <alignment horizontal="right" wrapText="1"/>
    </xf>
    <xf numFmtId="173" fontId="2" fillId="0" borderId="40" xfId="0" applyNumberFormat="1" applyFont="1" applyFill="1" applyBorder="1" applyAlignment="1">
      <alignment horizontal="right" wrapText="1"/>
    </xf>
    <xf numFmtId="173" fontId="2" fillId="5" borderId="40" xfId="0" applyNumberFormat="1" applyFont="1" applyFill="1" applyBorder="1" applyAlignment="1">
      <alignment horizontal="right" wrapText="1"/>
    </xf>
    <xf numFmtId="173" fontId="2" fillId="0" borderId="41" xfId="0" applyNumberFormat="1" applyFont="1" applyFill="1" applyBorder="1" applyAlignment="1">
      <alignment horizontal="right" wrapText="1"/>
    </xf>
    <xf numFmtId="1" fontId="2" fillId="0" borderId="40" xfId="0" applyNumberFormat="1" applyFont="1" applyFill="1" applyBorder="1" applyAlignment="1">
      <alignment horizontal="right" wrapText="1"/>
    </xf>
    <xf numFmtId="171" fontId="2" fillId="0" borderId="40" xfId="0" applyNumberFormat="1" applyFont="1" applyFill="1" applyBorder="1" applyAlignment="1">
      <alignment horizontal="right" wrapText="1"/>
    </xf>
    <xf numFmtId="1" fontId="2" fillId="5" borderId="40" xfId="0" applyNumberFormat="1" applyFont="1" applyFill="1" applyBorder="1" applyAlignment="1">
      <alignment horizontal="right" wrapText="1"/>
    </xf>
    <xf numFmtId="1" fontId="2" fillId="0" borderId="41" xfId="0" applyNumberFormat="1" applyFont="1" applyFill="1" applyBorder="1" applyAlignment="1">
      <alignment horizontal="right" wrapText="1"/>
    </xf>
    <xf numFmtId="174" fontId="2" fillId="0" borderId="40" xfId="0" applyNumberFormat="1" applyFont="1" applyFill="1" applyBorder="1" applyAlignment="1">
      <alignment horizontal="right" wrapText="1"/>
    </xf>
    <xf numFmtId="171" fontId="2" fillId="0" borderId="41" xfId="0" applyNumberFormat="1" applyFont="1" applyFill="1" applyBorder="1" applyAlignment="1">
      <alignment horizontal="right" wrapText="1"/>
    </xf>
    <xf numFmtId="167" fontId="11" fillId="4" borderId="42" xfId="3" applyNumberFormat="1" applyFont="1" applyFill="1" applyBorder="1" applyAlignment="1" applyProtection="1">
      <alignment horizontal="right" vertical="center" wrapText="1"/>
    </xf>
    <xf numFmtId="167" fontId="2" fillId="0" borderId="40" xfId="0" applyNumberFormat="1" applyFont="1" applyFill="1" applyBorder="1" applyAlignment="1">
      <alignment horizontal="right" wrapText="1"/>
    </xf>
    <xf numFmtId="168" fontId="2" fillId="0" borderId="40" xfId="0" applyNumberFormat="1" applyFont="1" applyFill="1" applyBorder="1" applyAlignment="1">
      <alignment horizontal="right" wrapText="1"/>
    </xf>
    <xf numFmtId="167" fontId="2" fillId="5" borderId="40" xfId="0" applyNumberFormat="1" applyFont="1" applyFill="1" applyBorder="1" applyAlignment="1">
      <alignment horizontal="right" wrapText="1"/>
    </xf>
    <xf numFmtId="167" fontId="2" fillId="0" borderId="41" xfId="0" applyNumberFormat="1" applyFont="1" applyFill="1" applyBorder="1" applyAlignment="1">
      <alignment horizontal="right" wrapText="1"/>
    </xf>
    <xf numFmtId="167" fontId="2" fillId="0" borderId="31" xfId="0" applyNumberFormat="1" applyFont="1" applyFill="1" applyBorder="1" applyAlignment="1">
      <alignment horizontal="right" wrapText="1"/>
    </xf>
    <xf numFmtId="168" fontId="2" fillId="0" borderId="31" xfId="0" applyNumberFormat="1" applyFont="1" applyFill="1" applyBorder="1" applyAlignment="1">
      <alignment horizontal="right" wrapText="1"/>
    </xf>
    <xf numFmtId="174" fontId="2" fillId="0" borderId="31" xfId="0" applyNumberFormat="1" applyFont="1" applyFill="1" applyBorder="1" applyAlignment="1">
      <alignment horizontal="right" wrapText="1"/>
    </xf>
    <xf numFmtId="167" fontId="2" fillId="5" borderId="31" xfId="0" applyNumberFormat="1" applyFont="1" applyFill="1" applyBorder="1" applyAlignment="1">
      <alignment horizontal="right" wrapText="1"/>
    </xf>
    <xf numFmtId="168" fontId="2" fillId="0" borderId="32" xfId="0" applyNumberFormat="1" applyFont="1" applyFill="1" applyBorder="1" applyAlignment="1">
      <alignment horizontal="right" wrapText="1"/>
    </xf>
    <xf numFmtId="167" fontId="2" fillId="0" borderId="4" xfId="0" applyNumberFormat="1" applyFont="1" applyFill="1" applyBorder="1" applyAlignment="1">
      <alignment horizontal="right" wrapText="1"/>
    </xf>
    <xf numFmtId="167" fontId="2" fillId="5" borderId="4" xfId="0" applyNumberFormat="1" applyFont="1" applyFill="1" applyBorder="1" applyAlignment="1">
      <alignment horizontal="right" wrapText="1"/>
    </xf>
    <xf numFmtId="167" fontId="2" fillId="0" borderId="10" xfId="0" applyNumberFormat="1" applyFont="1" applyFill="1" applyBorder="1" applyAlignment="1">
      <alignment horizontal="right" wrapText="1"/>
    </xf>
    <xf numFmtId="174" fontId="2" fillId="0" borderId="4" xfId="0" applyNumberFormat="1" applyFont="1" applyFill="1" applyBorder="1" applyAlignment="1">
      <alignment horizontal="right" wrapText="1"/>
    </xf>
    <xf numFmtId="167" fontId="2" fillId="0" borderId="44" xfId="0" applyNumberFormat="1" applyFont="1" applyFill="1" applyBorder="1" applyAlignment="1">
      <alignment horizontal="right" wrapText="1"/>
    </xf>
    <xf numFmtId="167" fontId="2" fillId="5" borderId="44" xfId="0" applyNumberFormat="1" applyFont="1" applyFill="1" applyBorder="1" applyAlignment="1">
      <alignment horizontal="right" wrapText="1"/>
    </xf>
    <xf numFmtId="167" fontId="2" fillId="0" borderId="43" xfId="0" applyNumberFormat="1" applyFont="1" applyFill="1" applyBorder="1" applyAlignment="1">
      <alignment horizontal="right" wrapText="1"/>
    </xf>
  </cellXfs>
  <cellStyles count="11">
    <cellStyle name="Komma" xfId="1" builtinId="3"/>
    <cellStyle name="Komma 2" xfId="2"/>
    <cellStyle name="Komma 3" xfId="3"/>
    <cellStyle name="Normale 2" xfId="10"/>
    <cellStyle name="Standard" xfId="0" builtinId="0"/>
    <cellStyle name="Standard 2" xfId="4"/>
    <cellStyle name="Standard 2 2" xfId="7"/>
    <cellStyle name="Standard 3" xfId="5"/>
    <cellStyle name="Standard 4" xfId="6"/>
    <cellStyle name="Standard 4 2" xfId="8"/>
    <cellStyle name="Standard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139700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5</xdr:col>
      <xdr:colOff>171450</xdr:colOff>
      <xdr:row>0</xdr:row>
      <xdr:rowOff>19050</xdr:rowOff>
    </xdr:from>
    <xdr:to>
      <xdr:col>8</xdr:col>
      <xdr:colOff>191114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914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showGridLines="0" tabSelected="1" zoomScaleNormal="100" workbookViewId="0"/>
  </sheetViews>
  <sheetFormatPr baseColWidth="10" defaultRowHeight="12.75" x14ac:dyDescent="0.2"/>
  <cols>
    <col min="1" max="1" width="18.375" style="6" customWidth="1"/>
    <col min="2" max="15" width="11.25" style="6" customWidth="1"/>
    <col min="16" max="16384" width="11" style="6"/>
  </cols>
  <sheetData>
    <row r="1" spans="1:17" s="1" customFormat="1" x14ac:dyDescent="0.2"/>
    <row r="2" spans="1:17" s="1" customFormat="1" ht="15.75" x14ac:dyDescent="0.25">
      <c r="B2" s="2"/>
      <c r="C2" s="11"/>
      <c r="D2" s="11"/>
    </row>
    <row r="3" spans="1:17" s="1" customFormat="1" ht="15.75" x14ac:dyDescent="0.25">
      <c r="B3" s="2"/>
      <c r="C3" s="11"/>
      <c r="D3" s="11"/>
    </row>
    <row r="4" spans="1:17" s="1" customFormat="1" ht="15.75" x14ac:dyDescent="0.25">
      <c r="B4" s="2"/>
      <c r="C4" s="11"/>
      <c r="D4" s="11"/>
    </row>
    <row r="5" spans="1:17" s="1" customFormat="1" x14ac:dyDescent="0.2"/>
    <row r="6" spans="1:17" s="1" customFormat="1" x14ac:dyDescent="0.2"/>
    <row r="7" spans="1:17" s="1" customFormat="1" ht="15.75" customHeight="1" x14ac:dyDescent="0.2">
      <c r="A7" s="42" t="str">
        <f>VLOOKUP("&lt;Fachbereich&gt;",Uebersetzungen!$B$3:$E$39,Uebersetzungen!$B$2+1,FALSE)</f>
        <v>Daten &amp; Statistik</v>
      </c>
      <c r="B7" s="42"/>
      <c r="C7" s="42"/>
      <c r="D7" s="4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s="1" customFormat="1" x14ac:dyDescent="0.2">
      <c r="H8" s="28"/>
    </row>
    <row r="9" spans="1:17" ht="18" x14ac:dyDescent="0.2">
      <c r="A9" s="3" t="str">
        <f>VLOOKUP("&lt;Titel&gt;",Uebersetzungen!$B$3:$E$39,Uebersetzungen!$B$2+1,FALSE)</f>
        <v>Migrationsstatus nach Kanton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 x14ac:dyDescent="0.2">
      <c r="A10" s="7" t="str">
        <f>VLOOKUP("&lt;UTitel&gt;",Uebersetzungen!$B$3:$E$39,Uebersetzungen!$B$2+1,FALSE)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7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7" ht="18.75" thickBot="1" x14ac:dyDescent="0.3">
      <c r="A12" s="8"/>
      <c r="B12" s="43">
        <v>2023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</row>
    <row r="13" spans="1:17" ht="20.25" customHeight="1" x14ac:dyDescent="0.2">
      <c r="A13" s="8"/>
      <c r="B13" s="55" t="str">
        <f>VLOOKUP("&lt;ObSpaltenTitel_1&gt;",Uebersetzungen!$B$3:$E$339,Uebersetzungen!$B$2+1,FALSE)</f>
        <v>in Tausend</v>
      </c>
      <c r="C13" s="56"/>
      <c r="D13" s="56"/>
      <c r="E13" s="56"/>
      <c r="F13" s="56"/>
      <c r="G13" s="56"/>
      <c r="H13" s="56"/>
      <c r="I13" s="56"/>
      <c r="J13" s="56"/>
      <c r="K13" s="57"/>
      <c r="L13" s="55" t="str">
        <f>VLOOKUP("&lt;ObSpaltenTitel_2&gt;",Uebersetzungen!$B$3:$E$339,Uebersetzungen!$B$2+1,FALSE)</f>
        <v>in %</v>
      </c>
      <c r="M13" s="56"/>
      <c r="N13" s="56"/>
      <c r="O13" s="57"/>
    </row>
    <row r="14" spans="1:17" ht="30" customHeight="1" x14ac:dyDescent="0.2">
      <c r="A14" s="8"/>
      <c r="B14" s="46" t="str">
        <f>VLOOKUP("&lt;SpaltenTitel_1&gt;",Uebersetzungen!$B$3:$E$39,Uebersetzungen!$B$2+1,FALSE)</f>
        <v>Total*</v>
      </c>
      <c r="C14" s="47"/>
      <c r="D14" s="34" t="str">
        <f>VLOOKUP("&lt;SpaltenTitel_2&gt;",Uebersetzungen!$B$3:$E$39,Uebersetzungen!$B$2+1,FALSE)</f>
        <v>Bevölkerung ohne Migrationshintergrund</v>
      </c>
      <c r="E14" s="47"/>
      <c r="F14" s="51" t="str">
        <f>VLOOKUP("&lt;SpaltenTitel_3&gt;",Uebersetzungen!$B$3:$E$296,Uebersetzungen!$B$2+1,FALSE)</f>
        <v>Bevölkerung mit Migrationshintergrund</v>
      </c>
      <c r="G14" s="54"/>
      <c r="H14" s="54"/>
      <c r="I14" s="54"/>
      <c r="J14" s="54"/>
      <c r="K14" s="53"/>
      <c r="L14" s="47" t="str">
        <f>VLOOKUP("&lt;SpaltenTitel_4&gt;",Uebersetzungen!$B$3:$E$39,Uebersetzungen!$B$2+1,FALSE)</f>
        <v>Bevölkerung ohne Migrations-hintergrund</v>
      </c>
      <c r="M14" s="51" t="str">
        <f>VLOOKUP("&lt;SpaltenTitel_5&gt;",Uebersetzungen!$B$3:$E$39,Uebersetzungen!$B$2+1,FALSE)</f>
        <v>Bevölkerung mit Migrationshintergrund</v>
      </c>
      <c r="N14" s="54"/>
      <c r="O14" s="53"/>
    </row>
    <row r="15" spans="1:17" ht="37.5" customHeight="1" x14ac:dyDescent="0.2">
      <c r="A15" s="40"/>
      <c r="B15" s="48"/>
      <c r="C15" s="49"/>
      <c r="D15" s="50"/>
      <c r="E15" s="49"/>
      <c r="F15" s="51" t="str">
        <f>VLOOKUP("&lt;SpaltenTitel_3.1&gt;",Uebersetzungen!$B$3:$E$296,Uebersetzungen!$B$2+1,FALSE)</f>
        <v>1. Generation</v>
      </c>
      <c r="G15" s="52"/>
      <c r="H15" s="51" t="str">
        <f>VLOOKUP("&lt;SpaltenTitel_3.2&gt;",Uebersetzungen!$B$3:$E$296,Uebersetzungen!$B$2+1,FALSE)</f>
        <v>2. Generation</v>
      </c>
      <c r="I15" s="52"/>
      <c r="J15" s="51" t="str">
        <f>VLOOKUP("&lt;SpaltenTitel_3.3&gt;",Uebersetzungen!$B$3:$E$296,Uebersetzungen!$B$2+1,FALSE)</f>
        <v>Total</v>
      </c>
      <c r="K15" s="53"/>
      <c r="L15" s="58"/>
      <c r="M15" s="34" t="str">
        <f>VLOOKUP("&lt;SpaltenTitel_5.1&gt;",Uebersetzungen!$B$3:$E$296,Uebersetzungen!$B$2+1,FALSE)</f>
        <v>1. Generation</v>
      </c>
      <c r="N15" s="36" t="str">
        <f>VLOOKUP("&lt;SpaltenTitel_5.2&gt;",Uebersetzungen!$B$3:$E$296,Uebersetzungen!$B$2+1,FALSE)</f>
        <v>2. Generation</v>
      </c>
      <c r="O15" s="38" t="str">
        <f>VLOOKUP("&lt;SpaltenTitel_5.3&gt;",Uebersetzungen!$B$3:$E$296,Uebersetzungen!$B$2+1,FALSE)</f>
        <v>Total</v>
      </c>
    </row>
    <row r="16" spans="1:17" ht="39" thickBot="1" x14ac:dyDescent="0.25">
      <c r="A16" s="41"/>
      <c r="B16" s="29" t="str">
        <f>VLOOKUP("&lt;SpaltenTitel_1.1&gt;",Uebersetzungen!$B$3:$E$39,Uebersetzungen!$B$2+1,FALSE)</f>
        <v>Anzahl Personen</v>
      </c>
      <c r="C16" s="30" t="str">
        <f>VLOOKUP("&lt;SpaltenTitel_1.2&gt;",Uebersetzungen!$B$3:$E$39,Uebersetzungen!$B$2+1,FALSE)</f>
        <v>Vertrauens- intervall: ± (in %) **</v>
      </c>
      <c r="D16" s="31" t="str">
        <f>VLOOKUP("&lt;SpaltenTitel_1.1&gt;",Uebersetzungen!$B$3:$E$39,Uebersetzungen!$B$2+1,FALSE)</f>
        <v>Anzahl Personen</v>
      </c>
      <c r="E16" s="30" t="str">
        <f>VLOOKUP("&lt;SpaltenTitel_1.2&gt;",Uebersetzungen!$B$3:$E$39,Uebersetzungen!$B$2+1,FALSE)</f>
        <v>Vertrauens- intervall: ± (in %) **</v>
      </c>
      <c r="F16" s="31" t="str">
        <f>VLOOKUP("&lt;SpaltenTitel_1.1&gt;",Uebersetzungen!$B$3:$E$39,Uebersetzungen!$B$2+1,FALSE)</f>
        <v>Anzahl Personen</v>
      </c>
      <c r="G16" s="30" t="str">
        <f>VLOOKUP("&lt;SpaltenTitel_1.2&gt;",Uebersetzungen!$B$3:$E$39,Uebersetzungen!$B$2+1,FALSE)</f>
        <v>Vertrauens- intervall: ± (in %) **</v>
      </c>
      <c r="H16" s="31" t="str">
        <f>VLOOKUP("&lt;SpaltenTitel_1.1&gt;",Uebersetzungen!$B$3:$E$39,Uebersetzungen!$B$2+1,FALSE)</f>
        <v>Anzahl Personen</v>
      </c>
      <c r="I16" s="30" t="str">
        <f>VLOOKUP("&lt;SpaltenTitel_1.2&gt;",Uebersetzungen!$B$3:$E$39,Uebersetzungen!$B$2+1,FALSE)</f>
        <v>Vertrauens- intervall: ± (in %) **</v>
      </c>
      <c r="J16" s="31" t="str">
        <f>VLOOKUP("&lt;SpaltenTitel_1.1&gt;",Uebersetzungen!$B$3:$E$39,Uebersetzungen!$B$2+1,FALSE)</f>
        <v>Anzahl Personen</v>
      </c>
      <c r="K16" s="32" t="str">
        <f>VLOOKUP("&lt;SpaltenTitel_1.2&gt;",Uebersetzungen!$B$3:$E$39,Uebersetzungen!$B$2+1,FALSE)</f>
        <v>Vertrauens- intervall: ± (in %) **</v>
      </c>
      <c r="L16" s="58"/>
      <c r="M16" s="35"/>
      <c r="N16" s="37"/>
      <c r="O16" s="39"/>
    </row>
    <row r="17" spans="1:15" x14ac:dyDescent="0.2">
      <c r="A17" s="24" t="str">
        <f>VLOOKUP("&lt;Zeilentitel_1&gt;",Uebersetzungen!$B$3:$E$39,Uebersetzungen!$B$2+1,FALSE)</f>
        <v>Total</v>
      </c>
      <c r="B17" s="69">
        <v>7468.4390000000003</v>
      </c>
      <c r="C17" s="68">
        <v>0</v>
      </c>
      <c r="D17" s="60">
        <v>4353.9539999999997</v>
      </c>
      <c r="E17" s="61">
        <v>0.49</v>
      </c>
      <c r="F17" s="60">
        <v>2396.402</v>
      </c>
      <c r="G17" s="61">
        <v>0.78</v>
      </c>
      <c r="H17" s="60">
        <v>623.09100000000001</v>
      </c>
      <c r="I17" s="61">
        <v>2.5</v>
      </c>
      <c r="J17" s="60">
        <v>3019.4929999999999</v>
      </c>
      <c r="K17" s="62">
        <v>0.7</v>
      </c>
      <c r="L17" s="66">
        <v>58.3</v>
      </c>
      <c r="M17" s="59">
        <v>32.090000000000003</v>
      </c>
      <c r="N17" s="82">
        <v>8.34</v>
      </c>
      <c r="O17" s="33">
        <v>40.43</v>
      </c>
    </row>
    <row r="18" spans="1:15" x14ac:dyDescent="0.2">
      <c r="A18" s="25" t="str">
        <f>VLOOKUP("&lt;Zeilentitel_2&gt;",Uebersetzungen!$B$3:$E$39,Uebersetzungen!$B$2+1,FALSE)</f>
        <v>Zürich</v>
      </c>
      <c r="B18" s="70">
        <v>1341.202</v>
      </c>
      <c r="C18" s="92">
        <v>0</v>
      </c>
      <c r="D18" s="73">
        <v>699.16099999999994</v>
      </c>
      <c r="E18" s="92">
        <v>1.43</v>
      </c>
      <c r="F18" s="76">
        <v>494.52699999999999</v>
      </c>
      <c r="G18" s="92">
        <v>1.77</v>
      </c>
      <c r="H18" s="76">
        <v>128.321</v>
      </c>
      <c r="I18" s="92">
        <v>5.67</v>
      </c>
      <c r="J18" s="76">
        <v>622.84900000000005</v>
      </c>
      <c r="K18" s="63">
        <v>1.59</v>
      </c>
      <c r="L18" s="96">
        <v>52.13</v>
      </c>
      <c r="M18" s="83">
        <v>36.869999999999997</v>
      </c>
      <c r="N18" s="87">
        <v>9.57</v>
      </c>
      <c r="O18" s="63">
        <v>46.44</v>
      </c>
    </row>
    <row r="19" spans="1:15" x14ac:dyDescent="0.2">
      <c r="A19" s="25" t="str">
        <f>VLOOKUP("&lt;Zeilentitel_3&gt;",Uebersetzungen!$B$3:$E$39,Uebersetzungen!$B$2+1,FALSE)</f>
        <v>Bern</v>
      </c>
      <c r="B19" s="70">
        <v>895.76099999999997</v>
      </c>
      <c r="C19" s="92">
        <v>0</v>
      </c>
      <c r="D19" s="73">
        <v>660.51700000000005</v>
      </c>
      <c r="E19" s="92">
        <v>1.2</v>
      </c>
      <c r="F19" s="76">
        <v>183.59899999999999</v>
      </c>
      <c r="G19" s="92">
        <v>3.82</v>
      </c>
      <c r="H19" s="76">
        <v>41.472999999999999</v>
      </c>
      <c r="I19" s="92">
        <v>10.3</v>
      </c>
      <c r="J19" s="76">
        <v>225.072</v>
      </c>
      <c r="K19" s="63">
        <v>3.44</v>
      </c>
      <c r="L19" s="96">
        <v>73.739999999999995</v>
      </c>
      <c r="M19" s="83">
        <v>20.5</v>
      </c>
      <c r="N19" s="87">
        <v>4.63</v>
      </c>
      <c r="O19" s="63">
        <v>25.13</v>
      </c>
    </row>
    <row r="20" spans="1:15" x14ac:dyDescent="0.2">
      <c r="A20" s="25" t="str">
        <f>VLOOKUP("&lt;Zeilentitel_4&gt;",Uebersetzungen!$B$3:$E$39,Uebersetzungen!$B$2+1,FALSE)</f>
        <v>Luzern</v>
      </c>
      <c r="B20" s="70">
        <v>360.37099999999998</v>
      </c>
      <c r="C20" s="92">
        <v>0</v>
      </c>
      <c r="D20" s="73">
        <v>249.23</v>
      </c>
      <c r="E20" s="92">
        <v>2.11</v>
      </c>
      <c r="F20" s="76">
        <v>86.488</v>
      </c>
      <c r="G20" s="92">
        <v>5.37</v>
      </c>
      <c r="H20" s="76">
        <v>21.745000000000001</v>
      </c>
      <c r="I20" s="92">
        <v>14.31</v>
      </c>
      <c r="J20" s="76">
        <v>108.233</v>
      </c>
      <c r="K20" s="63">
        <v>4.8</v>
      </c>
      <c r="L20" s="96">
        <v>69.16</v>
      </c>
      <c r="M20" s="83">
        <v>24</v>
      </c>
      <c r="N20" s="87">
        <v>6.03</v>
      </c>
      <c r="O20" s="63">
        <v>30.03</v>
      </c>
    </row>
    <row r="21" spans="1:15" x14ac:dyDescent="0.2">
      <c r="A21" s="25" t="str">
        <f>VLOOKUP("&lt;Zeilentitel_5&gt;",Uebersetzungen!$B$3:$E$39,Uebersetzungen!$B$2+1,FALSE)</f>
        <v>Uri</v>
      </c>
      <c r="B21" s="70">
        <v>31.788</v>
      </c>
      <c r="C21" s="92">
        <v>0</v>
      </c>
      <c r="D21" s="73">
        <v>24.268999999999998</v>
      </c>
      <c r="E21" s="92">
        <v>6.11</v>
      </c>
      <c r="F21" s="77">
        <v>5.5460000000000003</v>
      </c>
      <c r="G21" s="92">
        <v>23.89</v>
      </c>
      <c r="H21" s="77">
        <v>0.93600000000000005</v>
      </c>
      <c r="I21" s="92">
        <v>63.38</v>
      </c>
      <c r="J21" s="76">
        <v>6.4809999999999999</v>
      </c>
      <c r="K21" s="63">
        <v>21.89</v>
      </c>
      <c r="L21" s="96">
        <v>76.349999999999994</v>
      </c>
      <c r="M21" s="84">
        <v>17.45</v>
      </c>
      <c r="N21" s="88">
        <v>2.94</v>
      </c>
      <c r="O21" s="67">
        <v>20.39</v>
      </c>
    </row>
    <row r="22" spans="1:15" x14ac:dyDescent="0.2">
      <c r="A22" s="25" t="str">
        <f>VLOOKUP("&lt;Zeilentitel_6&gt;",Uebersetzungen!$B$3:$E$39,Uebersetzungen!$B$2+1,FALSE)</f>
        <v>Schwyz</v>
      </c>
      <c r="B22" s="70">
        <v>140.58099999999999</v>
      </c>
      <c r="C22" s="92">
        <v>0</v>
      </c>
      <c r="D22" s="73">
        <v>93.674999999999997</v>
      </c>
      <c r="E22" s="92">
        <v>3.71</v>
      </c>
      <c r="F22" s="76">
        <v>35.515999999999998</v>
      </c>
      <c r="G22" s="92">
        <v>8.7100000000000009</v>
      </c>
      <c r="H22" s="76">
        <v>9.3539999999999992</v>
      </c>
      <c r="I22" s="92">
        <v>21.08</v>
      </c>
      <c r="J22" s="76">
        <v>44.87</v>
      </c>
      <c r="K22" s="63">
        <v>7.63</v>
      </c>
      <c r="L22" s="96">
        <v>66.63</v>
      </c>
      <c r="M22" s="83">
        <v>25.26</v>
      </c>
      <c r="N22" s="87">
        <v>6.65</v>
      </c>
      <c r="O22" s="63">
        <v>31.92</v>
      </c>
    </row>
    <row r="23" spans="1:15" x14ac:dyDescent="0.2">
      <c r="A23" s="25" t="str">
        <f>VLOOKUP("&lt;Zeilentitel_7&gt;",Uebersetzungen!$B$3:$E$39,Uebersetzungen!$B$2+1,FALSE)</f>
        <v>Obwalden</v>
      </c>
      <c r="B23" s="70">
        <v>30.846</v>
      </c>
      <c r="C23" s="92">
        <v>9.8000000000000007</v>
      </c>
      <c r="D23" s="73">
        <v>23.241</v>
      </c>
      <c r="E23" s="92">
        <v>12.42</v>
      </c>
      <c r="F23" s="76">
        <v>6.0880000000000001</v>
      </c>
      <c r="G23" s="92">
        <v>25.09</v>
      </c>
      <c r="H23" s="77">
        <v>1.111</v>
      </c>
      <c r="I23" s="92">
        <v>62.09</v>
      </c>
      <c r="J23" s="76">
        <v>7.1989999999999998</v>
      </c>
      <c r="K23" s="63">
        <v>22.98</v>
      </c>
      <c r="L23" s="96">
        <v>75.349999999999994</v>
      </c>
      <c r="M23" s="83">
        <v>19.739999999999998</v>
      </c>
      <c r="N23" s="88">
        <v>3.6</v>
      </c>
      <c r="O23" s="63">
        <v>23.34</v>
      </c>
    </row>
    <row r="24" spans="1:15" x14ac:dyDescent="0.2">
      <c r="A24" s="25" t="str">
        <f>VLOOKUP("&lt;Zeilentitel_8&gt;",Uebersetzungen!$B$3:$E$39,Uebersetzungen!$B$2+1,FALSE)</f>
        <v>Nidwalden</v>
      </c>
      <c r="B24" s="70">
        <v>40.53</v>
      </c>
      <c r="C24" s="92">
        <v>7.46</v>
      </c>
      <c r="D24" s="73">
        <v>30.971</v>
      </c>
      <c r="E24" s="92">
        <v>9.8800000000000008</v>
      </c>
      <c r="F24" s="76">
        <v>8.0579999999999998</v>
      </c>
      <c r="G24" s="92">
        <v>20.85</v>
      </c>
      <c r="H24" s="77">
        <v>0.74199999999999999</v>
      </c>
      <c r="I24" s="92">
        <v>96.47</v>
      </c>
      <c r="J24" s="76">
        <v>8.8000000000000007</v>
      </c>
      <c r="K24" s="63">
        <v>20.52</v>
      </c>
      <c r="L24" s="96">
        <v>76.42</v>
      </c>
      <c r="M24" s="83">
        <v>19.88</v>
      </c>
      <c r="N24" s="88">
        <v>1.83</v>
      </c>
      <c r="O24" s="63">
        <v>21.71</v>
      </c>
    </row>
    <row r="25" spans="1:15" x14ac:dyDescent="0.2">
      <c r="A25" s="25" t="str">
        <f>VLOOKUP("&lt;Zeilentitel_9&gt;",Uebersetzungen!$B$3:$E$39,Uebersetzungen!$B$2+1,FALSE)</f>
        <v>Glarus</v>
      </c>
      <c r="B25" s="70">
        <v>35.399000000000001</v>
      </c>
      <c r="C25" s="92">
        <v>0</v>
      </c>
      <c r="D25" s="73">
        <v>21.544</v>
      </c>
      <c r="E25" s="92">
        <v>8.4</v>
      </c>
      <c r="F25" s="76">
        <v>9.44</v>
      </c>
      <c r="G25" s="92">
        <v>16.5</v>
      </c>
      <c r="H25" s="77">
        <v>3.9020000000000001</v>
      </c>
      <c r="I25" s="92">
        <v>29.78</v>
      </c>
      <c r="J25" s="76">
        <v>13.340999999999999</v>
      </c>
      <c r="K25" s="63">
        <v>13.42</v>
      </c>
      <c r="L25" s="96">
        <v>60.86</v>
      </c>
      <c r="M25" s="83">
        <v>26.67</v>
      </c>
      <c r="N25" s="88">
        <v>11.02</v>
      </c>
      <c r="O25" s="63">
        <v>37.69</v>
      </c>
    </row>
    <row r="26" spans="1:15" x14ac:dyDescent="0.2">
      <c r="A26" s="25" t="str">
        <f>VLOOKUP("&lt;Zeilentitel_10&gt;",Uebersetzungen!$B$3:$E$39,Uebersetzungen!$B$2+1,FALSE)</f>
        <v>Zug</v>
      </c>
      <c r="B26" s="70">
        <v>110.687</v>
      </c>
      <c r="C26" s="92">
        <v>0</v>
      </c>
      <c r="D26" s="73">
        <v>61.228000000000002</v>
      </c>
      <c r="E26" s="92">
        <v>5.59</v>
      </c>
      <c r="F26" s="76">
        <v>39.896000000000001</v>
      </c>
      <c r="G26" s="92">
        <v>8.0500000000000007</v>
      </c>
      <c r="H26" s="76">
        <v>8.5530000000000008</v>
      </c>
      <c r="I26" s="92">
        <v>22.32</v>
      </c>
      <c r="J26" s="76">
        <v>48.448999999999998</v>
      </c>
      <c r="K26" s="63">
        <v>7.02</v>
      </c>
      <c r="L26" s="96">
        <v>55.32</v>
      </c>
      <c r="M26" s="83">
        <v>36.04</v>
      </c>
      <c r="N26" s="87">
        <v>7.73</v>
      </c>
      <c r="O26" s="63">
        <v>43.77</v>
      </c>
    </row>
    <row r="27" spans="1:15" x14ac:dyDescent="0.2">
      <c r="A27" s="25" t="str">
        <f>VLOOKUP("&lt;Zeilentitel_11&gt;",Uebersetzungen!$B$3:$E$39,Uebersetzungen!$B$2+1,FALSE)</f>
        <v>Freiburg</v>
      </c>
      <c r="B27" s="70">
        <v>279.88900000000001</v>
      </c>
      <c r="C27" s="92">
        <v>0</v>
      </c>
      <c r="D27" s="73">
        <v>182.691</v>
      </c>
      <c r="E27" s="92">
        <v>2.76</v>
      </c>
      <c r="F27" s="76">
        <v>78.587999999999994</v>
      </c>
      <c r="G27" s="92">
        <v>5.93</v>
      </c>
      <c r="H27" s="76">
        <v>17.015000000000001</v>
      </c>
      <c r="I27" s="92">
        <v>15.53</v>
      </c>
      <c r="J27" s="76">
        <v>95.602999999999994</v>
      </c>
      <c r="K27" s="63">
        <v>5.24</v>
      </c>
      <c r="L27" s="96">
        <v>65.27</v>
      </c>
      <c r="M27" s="83">
        <v>28.08</v>
      </c>
      <c r="N27" s="87">
        <v>6.08</v>
      </c>
      <c r="O27" s="63">
        <v>34.159999999999997</v>
      </c>
    </row>
    <row r="28" spans="1:15" x14ac:dyDescent="0.2">
      <c r="A28" s="25" t="str">
        <f>VLOOKUP("&lt;Zeilentitel_12&gt;",Uebersetzungen!$B$3:$E$39,Uebersetzungen!$B$2+1,FALSE)</f>
        <v>Solothurn</v>
      </c>
      <c r="B28" s="70">
        <v>241.02</v>
      </c>
      <c r="C28" s="92">
        <v>0</v>
      </c>
      <c r="D28" s="73">
        <v>151.84</v>
      </c>
      <c r="E28" s="92">
        <v>3.11</v>
      </c>
      <c r="F28" s="76">
        <v>61.963000000000001</v>
      </c>
      <c r="G28" s="92">
        <v>6.66</v>
      </c>
      <c r="H28" s="76">
        <v>23.599</v>
      </c>
      <c r="I28" s="92">
        <v>12.7</v>
      </c>
      <c r="J28" s="76">
        <v>85.561999999999998</v>
      </c>
      <c r="K28" s="63">
        <v>5.44</v>
      </c>
      <c r="L28" s="96">
        <v>63</v>
      </c>
      <c r="M28" s="83">
        <v>25.71</v>
      </c>
      <c r="N28" s="87">
        <v>9.7899999999999991</v>
      </c>
      <c r="O28" s="63">
        <v>35.5</v>
      </c>
    </row>
    <row r="29" spans="1:15" x14ac:dyDescent="0.2">
      <c r="A29" s="25" t="str">
        <f>VLOOKUP("&lt;Zeilentitel_13&gt;",Uebersetzungen!$B$3:$E$39,Uebersetzungen!$B$2+1,FALSE)</f>
        <v>Basel-Stadt</v>
      </c>
      <c r="B29" s="70">
        <v>170.00399999999999</v>
      </c>
      <c r="C29" s="92">
        <v>0</v>
      </c>
      <c r="D29" s="73">
        <v>79.308000000000007</v>
      </c>
      <c r="E29" s="92">
        <v>5.28</v>
      </c>
      <c r="F29" s="76">
        <v>73.253</v>
      </c>
      <c r="G29" s="92">
        <v>5.44</v>
      </c>
      <c r="H29" s="76">
        <v>15.811999999999999</v>
      </c>
      <c r="I29" s="92">
        <v>15.32</v>
      </c>
      <c r="J29" s="76">
        <v>89.064999999999998</v>
      </c>
      <c r="K29" s="63">
        <v>4.68</v>
      </c>
      <c r="L29" s="96">
        <v>46.65</v>
      </c>
      <c r="M29" s="83">
        <v>43.09</v>
      </c>
      <c r="N29" s="87">
        <v>9.3000000000000007</v>
      </c>
      <c r="O29" s="63">
        <v>52.39</v>
      </c>
    </row>
    <row r="30" spans="1:15" x14ac:dyDescent="0.2">
      <c r="A30" s="25" t="str">
        <f>VLOOKUP("&lt;Zeilentitel_14&gt;",Uebersetzungen!$B$3:$E$39,Uebersetzungen!$B$2+1,FALSE)</f>
        <v>Basel-Landschaft</v>
      </c>
      <c r="B30" s="70">
        <v>251.46</v>
      </c>
      <c r="C30" s="92">
        <v>0</v>
      </c>
      <c r="D30" s="73">
        <v>152.804</v>
      </c>
      <c r="E30" s="92">
        <v>3.34</v>
      </c>
      <c r="F30" s="76">
        <v>72.456000000000003</v>
      </c>
      <c r="G30" s="92">
        <v>6.32</v>
      </c>
      <c r="H30" s="76">
        <v>22.399000000000001</v>
      </c>
      <c r="I30" s="92">
        <v>13.7</v>
      </c>
      <c r="J30" s="76">
        <v>94.855000000000004</v>
      </c>
      <c r="K30" s="63">
        <v>5.3</v>
      </c>
      <c r="L30" s="96">
        <v>60.77</v>
      </c>
      <c r="M30" s="83">
        <v>28.81</v>
      </c>
      <c r="N30" s="87">
        <v>8.91</v>
      </c>
      <c r="O30" s="63">
        <v>37.72</v>
      </c>
    </row>
    <row r="31" spans="1:15" x14ac:dyDescent="0.2">
      <c r="A31" s="25" t="str">
        <f>VLOOKUP("&lt;Zeilentitel_15&gt;",Uebersetzungen!$B$3:$E$60,Uebersetzungen!$B$2+1,FALSE)</f>
        <v>Schaffhausen</v>
      </c>
      <c r="B31" s="70">
        <v>73.111999999999995</v>
      </c>
      <c r="C31" s="92">
        <v>0</v>
      </c>
      <c r="D31" s="73">
        <v>42.005000000000003</v>
      </c>
      <c r="E31" s="92">
        <v>6.69</v>
      </c>
      <c r="F31" s="76">
        <v>22.126000000000001</v>
      </c>
      <c r="G31" s="92">
        <v>11.44</v>
      </c>
      <c r="H31" s="76">
        <v>6.9080000000000004</v>
      </c>
      <c r="I31" s="92">
        <v>25</v>
      </c>
      <c r="J31" s="76">
        <v>29.033999999999999</v>
      </c>
      <c r="K31" s="63">
        <v>9.5399999999999991</v>
      </c>
      <c r="L31" s="96">
        <v>57.45</v>
      </c>
      <c r="M31" s="83">
        <v>30.26</v>
      </c>
      <c r="N31" s="87">
        <v>9.4499999999999993</v>
      </c>
      <c r="O31" s="63">
        <v>39.71</v>
      </c>
    </row>
    <row r="32" spans="1:15" ht="14.25" customHeight="1" x14ac:dyDescent="0.2">
      <c r="A32" s="25" t="str">
        <f>VLOOKUP("&lt;Zeilentitel_16&gt;",Uebersetzungen!$B$3:$E$60,Uebersetzungen!$B$2+1,FALSE)</f>
        <v>Appenzell Ausserrhoden</v>
      </c>
      <c r="B32" s="70">
        <v>48.295000000000002</v>
      </c>
      <c r="C32" s="92">
        <v>4.82</v>
      </c>
      <c r="D32" s="73">
        <v>35.103999999999999</v>
      </c>
      <c r="E32" s="92">
        <v>7.94</v>
      </c>
      <c r="F32" s="76">
        <v>10.201000000000001</v>
      </c>
      <c r="G32" s="92">
        <v>19.28</v>
      </c>
      <c r="H32" s="77">
        <v>2.5150000000000001</v>
      </c>
      <c r="I32" s="92">
        <v>42.24</v>
      </c>
      <c r="J32" s="76">
        <v>12.715</v>
      </c>
      <c r="K32" s="63">
        <v>17.010000000000002</v>
      </c>
      <c r="L32" s="96">
        <v>72.69</v>
      </c>
      <c r="M32" s="83">
        <v>21.12</v>
      </c>
      <c r="N32" s="88">
        <v>5.21</v>
      </c>
      <c r="O32" s="63">
        <v>26.33</v>
      </c>
    </row>
    <row r="33" spans="1:15" x14ac:dyDescent="0.2">
      <c r="A33" s="25" t="str">
        <f>VLOOKUP("&lt;Zeilentitel_17&gt;",Uebersetzungen!$B$3:$E$60,Uebersetzungen!$B$2+1,FALSE)</f>
        <v>Appenzell Innerrhoden</v>
      </c>
      <c r="B33" s="70">
        <v>12.243</v>
      </c>
      <c r="C33" s="92">
        <v>19</v>
      </c>
      <c r="D33" s="73">
        <v>10.734999999999999</v>
      </c>
      <c r="E33" s="92">
        <v>20.87</v>
      </c>
      <c r="F33" s="77">
        <v>1.0640000000000001</v>
      </c>
      <c r="G33" s="92">
        <v>61.33</v>
      </c>
      <c r="H33" s="80">
        <v>0</v>
      </c>
      <c r="I33" s="95">
        <v>0</v>
      </c>
      <c r="J33" s="77">
        <v>1.272</v>
      </c>
      <c r="K33" s="63">
        <v>58.01</v>
      </c>
      <c r="L33" s="96">
        <v>87.68</v>
      </c>
      <c r="M33" s="84">
        <v>8.69</v>
      </c>
      <c r="N33" s="89">
        <v>0</v>
      </c>
      <c r="O33" s="67">
        <v>10.39</v>
      </c>
    </row>
    <row r="34" spans="1:15" x14ac:dyDescent="0.2">
      <c r="A34" s="25" t="str">
        <f>VLOOKUP("&lt;Zeilentitel_18&gt;",Uebersetzungen!$B$3:$E$60,Uebersetzungen!$B$2+1,FALSE)</f>
        <v>St. Gallen</v>
      </c>
      <c r="B34" s="70">
        <v>445.53899999999999</v>
      </c>
      <c r="C34" s="92">
        <v>0</v>
      </c>
      <c r="D34" s="73">
        <v>280.48700000000002</v>
      </c>
      <c r="E34" s="92">
        <v>2.23</v>
      </c>
      <c r="F34" s="76">
        <v>127.977</v>
      </c>
      <c r="G34" s="92">
        <v>4.4800000000000004</v>
      </c>
      <c r="H34" s="76">
        <v>31.754999999999999</v>
      </c>
      <c r="I34" s="92">
        <v>11.57</v>
      </c>
      <c r="J34" s="76">
        <v>159.732</v>
      </c>
      <c r="K34" s="63">
        <v>3.87</v>
      </c>
      <c r="L34" s="96">
        <v>62.95</v>
      </c>
      <c r="M34" s="83">
        <v>28.72</v>
      </c>
      <c r="N34" s="87">
        <v>7.13</v>
      </c>
      <c r="O34" s="63">
        <v>35.85</v>
      </c>
    </row>
    <row r="35" spans="1:15" x14ac:dyDescent="0.2">
      <c r="A35" s="26" t="str">
        <f>VLOOKUP("&lt;Zeilentitel_19&gt;",Uebersetzungen!$B$3:$E$60,Uebersetzungen!$B$2+1,FALSE)</f>
        <v>Graubünden</v>
      </c>
      <c r="B35" s="71">
        <v>175.82</v>
      </c>
      <c r="C35" s="93">
        <v>0</v>
      </c>
      <c r="D35" s="74">
        <v>119.488</v>
      </c>
      <c r="E35" s="93">
        <v>3.39</v>
      </c>
      <c r="F35" s="78">
        <v>46.994999999999997</v>
      </c>
      <c r="G35" s="93">
        <v>7.96</v>
      </c>
      <c r="H35" s="78">
        <v>6.3949999999999996</v>
      </c>
      <c r="I35" s="93">
        <v>27.02</v>
      </c>
      <c r="J35" s="78">
        <v>53.39</v>
      </c>
      <c r="K35" s="65">
        <v>7.42</v>
      </c>
      <c r="L35" s="97">
        <v>67.959999999999994</v>
      </c>
      <c r="M35" s="85">
        <v>26.73</v>
      </c>
      <c r="N35" s="90">
        <v>3.64</v>
      </c>
      <c r="O35" s="65">
        <v>30.37</v>
      </c>
    </row>
    <row r="36" spans="1:15" x14ac:dyDescent="0.2">
      <c r="A36" s="25" t="str">
        <f>VLOOKUP("&lt;Zeilentitel_20&gt;",Uebersetzungen!$B$3:$E$60,Uebersetzungen!$B$2+1,FALSE)</f>
        <v>Aargau</v>
      </c>
      <c r="B36" s="70">
        <v>602.90800000000002</v>
      </c>
      <c r="C36" s="92">
        <v>0</v>
      </c>
      <c r="D36" s="73">
        <v>357.46100000000001</v>
      </c>
      <c r="E36" s="92">
        <v>1.98</v>
      </c>
      <c r="F36" s="76">
        <v>181.369</v>
      </c>
      <c r="G36" s="92">
        <v>3.47</v>
      </c>
      <c r="H36" s="76">
        <v>56.802999999999997</v>
      </c>
      <c r="I36" s="92">
        <v>8.5299999999999994</v>
      </c>
      <c r="J36" s="76">
        <v>238.172</v>
      </c>
      <c r="K36" s="63">
        <v>2.92</v>
      </c>
      <c r="L36" s="96">
        <v>59.29</v>
      </c>
      <c r="M36" s="83">
        <v>30.08</v>
      </c>
      <c r="N36" s="87">
        <v>9.42</v>
      </c>
      <c r="O36" s="63">
        <v>39.5</v>
      </c>
    </row>
    <row r="37" spans="1:15" x14ac:dyDescent="0.2">
      <c r="A37" s="25" t="str">
        <f>VLOOKUP("&lt;Zeilentitel_21&gt;",Uebersetzungen!$B$3:$E$60,Uebersetzungen!$B$2+1,FALSE)</f>
        <v>Thurgau</v>
      </c>
      <c r="B37" s="70">
        <v>245.52699999999999</v>
      </c>
      <c r="C37" s="92">
        <v>0</v>
      </c>
      <c r="D37" s="73">
        <v>145.53399999999999</v>
      </c>
      <c r="E37" s="92">
        <v>3.46</v>
      </c>
      <c r="F37" s="76">
        <v>76.650999999999996</v>
      </c>
      <c r="G37" s="92">
        <v>5.99</v>
      </c>
      <c r="H37" s="76">
        <v>20.742000000000001</v>
      </c>
      <c r="I37" s="92">
        <v>14.65</v>
      </c>
      <c r="J37" s="76">
        <v>97.394000000000005</v>
      </c>
      <c r="K37" s="63">
        <v>5.14</v>
      </c>
      <c r="L37" s="96">
        <v>59.27</v>
      </c>
      <c r="M37" s="83">
        <v>31.22</v>
      </c>
      <c r="N37" s="87">
        <v>8.4499999999999993</v>
      </c>
      <c r="O37" s="63">
        <v>39.67</v>
      </c>
    </row>
    <row r="38" spans="1:15" x14ac:dyDescent="0.2">
      <c r="A38" s="25" t="str">
        <f>VLOOKUP("&lt;Zeilentitel_22&gt;",Uebersetzungen!$B$3:$E$60,Uebersetzungen!$B$2+1,FALSE)</f>
        <v>Tessin</v>
      </c>
      <c r="B38" s="70">
        <v>308.56400000000002</v>
      </c>
      <c r="C38" s="92">
        <v>0</v>
      </c>
      <c r="D38" s="73">
        <v>145.74299999999999</v>
      </c>
      <c r="E38" s="92">
        <v>3.13</v>
      </c>
      <c r="F38" s="76">
        <v>119.45099999999999</v>
      </c>
      <c r="G38" s="92">
        <v>3.25</v>
      </c>
      <c r="H38" s="76">
        <v>37.777999999999999</v>
      </c>
      <c r="I38" s="92">
        <v>9.41</v>
      </c>
      <c r="J38" s="76">
        <v>157.22900000000001</v>
      </c>
      <c r="K38" s="63">
        <v>2.87</v>
      </c>
      <c r="L38" s="96">
        <v>47.23</v>
      </c>
      <c r="M38" s="83">
        <v>38.71</v>
      </c>
      <c r="N38" s="87">
        <v>12.24</v>
      </c>
      <c r="O38" s="63">
        <v>50.96</v>
      </c>
    </row>
    <row r="39" spans="1:15" x14ac:dyDescent="0.2">
      <c r="A39" s="25" t="str">
        <f>VLOOKUP("&lt;Zeilentitel_23&gt;",Uebersetzungen!$B$3:$E$60,Uebersetzungen!$B$2+1,FALSE)</f>
        <v>Waadt</v>
      </c>
      <c r="B39" s="70">
        <v>694.89400000000001</v>
      </c>
      <c r="C39" s="92">
        <v>0</v>
      </c>
      <c r="D39" s="73">
        <v>321.32499999999999</v>
      </c>
      <c r="E39" s="92">
        <v>2.68</v>
      </c>
      <c r="F39" s="76">
        <v>293.39499999999998</v>
      </c>
      <c r="G39" s="92">
        <v>2.72</v>
      </c>
      <c r="H39" s="76">
        <v>70.492000000000004</v>
      </c>
      <c r="I39" s="92">
        <v>7.94</v>
      </c>
      <c r="J39" s="76">
        <v>363.887</v>
      </c>
      <c r="K39" s="63">
        <v>2.35</v>
      </c>
      <c r="L39" s="96">
        <v>46.24</v>
      </c>
      <c r="M39" s="83">
        <v>42.22</v>
      </c>
      <c r="N39" s="87">
        <v>10.14</v>
      </c>
      <c r="O39" s="63">
        <v>52.37</v>
      </c>
    </row>
    <row r="40" spans="1:15" x14ac:dyDescent="0.2">
      <c r="A40" s="25" t="str">
        <f>VLOOKUP("&lt;Zeilentitel_24&gt;",Uebersetzungen!$B$3:$E$60,Uebersetzungen!$B$2+1,FALSE)</f>
        <v>Wallis</v>
      </c>
      <c r="B40" s="70">
        <v>306.286</v>
      </c>
      <c r="C40" s="92">
        <v>0</v>
      </c>
      <c r="D40" s="73">
        <v>198.32</v>
      </c>
      <c r="E40" s="92">
        <v>2.74</v>
      </c>
      <c r="F40" s="76">
        <v>86.840999999999994</v>
      </c>
      <c r="G40" s="92">
        <v>5.69</v>
      </c>
      <c r="H40" s="76">
        <v>19.094999999999999</v>
      </c>
      <c r="I40" s="92">
        <v>15.24</v>
      </c>
      <c r="J40" s="76">
        <v>105.93600000000001</v>
      </c>
      <c r="K40" s="63">
        <v>5.08</v>
      </c>
      <c r="L40" s="96">
        <v>64.75</v>
      </c>
      <c r="M40" s="83">
        <v>28.35</v>
      </c>
      <c r="N40" s="87">
        <v>6.23</v>
      </c>
      <c r="O40" s="63">
        <v>34.590000000000003</v>
      </c>
    </row>
    <row r="41" spans="1:15" x14ac:dyDescent="0.2">
      <c r="A41" s="25" t="str">
        <f>VLOOKUP("&lt;Zeilentitel_25&gt;",Uebersetzungen!$B$3:$E$60,Uebersetzungen!$B$2+1,FALSE)</f>
        <v>Neuenburg</v>
      </c>
      <c r="B41" s="70">
        <v>149.89500000000001</v>
      </c>
      <c r="C41" s="92">
        <v>0</v>
      </c>
      <c r="D41" s="73">
        <v>85.403999999999996</v>
      </c>
      <c r="E41" s="92">
        <v>5.05</v>
      </c>
      <c r="F41" s="76">
        <v>47.851999999999997</v>
      </c>
      <c r="G41" s="92">
        <v>8.2100000000000009</v>
      </c>
      <c r="H41" s="76">
        <v>15.061</v>
      </c>
      <c r="I41" s="92">
        <v>17.53</v>
      </c>
      <c r="J41" s="76">
        <v>62.911999999999999</v>
      </c>
      <c r="K41" s="63">
        <v>6.82</v>
      </c>
      <c r="L41" s="96">
        <v>56.98</v>
      </c>
      <c r="M41" s="83">
        <v>31.92</v>
      </c>
      <c r="N41" s="87">
        <v>10.050000000000001</v>
      </c>
      <c r="O41" s="63">
        <v>41.97</v>
      </c>
    </row>
    <row r="42" spans="1:15" x14ac:dyDescent="0.2">
      <c r="A42" s="25" t="str">
        <f>VLOOKUP("&lt;Zeilentitel_26&gt;",Uebersetzungen!$B$3:$E$60,Uebersetzungen!$B$2+1,FALSE)</f>
        <v>Genf</v>
      </c>
      <c r="B42" s="70">
        <v>413.29399999999998</v>
      </c>
      <c r="C42" s="92">
        <v>0</v>
      </c>
      <c r="D42" s="73">
        <v>136.779</v>
      </c>
      <c r="E42" s="92">
        <v>4.6100000000000003</v>
      </c>
      <c r="F42" s="76">
        <v>214.012</v>
      </c>
      <c r="G42" s="92">
        <v>2.95</v>
      </c>
      <c r="H42" s="76">
        <v>56.61</v>
      </c>
      <c r="I42" s="92">
        <v>8.02</v>
      </c>
      <c r="J42" s="76">
        <v>270.62200000000001</v>
      </c>
      <c r="K42" s="63">
        <v>2.33</v>
      </c>
      <c r="L42" s="96">
        <v>33.090000000000003</v>
      </c>
      <c r="M42" s="83">
        <v>51.78</v>
      </c>
      <c r="N42" s="87">
        <v>13.7</v>
      </c>
      <c r="O42" s="63">
        <v>65.48</v>
      </c>
    </row>
    <row r="43" spans="1:15" ht="13.5" thickBot="1" x14ac:dyDescent="0.25">
      <c r="A43" s="27" t="str">
        <f>VLOOKUP("&lt;Zeilentitel_27&gt;",Uebersetzungen!$B$3:$E$60,Uebersetzungen!$B$2+1,FALSE)</f>
        <v>Jura</v>
      </c>
      <c r="B43" s="72">
        <v>62.527000000000001</v>
      </c>
      <c r="C43" s="94">
        <v>0</v>
      </c>
      <c r="D43" s="75">
        <v>45.088999999999999</v>
      </c>
      <c r="E43" s="94">
        <v>5.55</v>
      </c>
      <c r="F43" s="79">
        <v>13.05</v>
      </c>
      <c r="G43" s="94">
        <v>17.170000000000002</v>
      </c>
      <c r="H43" s="81">
        <v>3.7679999999999998</v>
      </c>
      <c r="I43" s="94">
        <v>35.24</v>
      </c>
      <c r="J43" s="79">
        <v>16.818000000000001</v>
      </c>
      <c r="K43" s="64">
        <v>14.72</v>
      </c>
      <c r="L43" s="98">
        <v>72.11</v>
      </c>
      <c r="M43" s="86">
        <v>20.87</v>
      </c>
      <c r="N43" s="91">
        <v>6.03</v>
      </c>
      <c r="O43" s="64">
        <v>26.9</v>
      </c>
    </row>
    <row r="45" spans="1:15" x14ac:dyDescent="0.2">
      <c r="A45" s="13" t="str">
        <f>VLOOKUP("&lt;Legende_1&gt;",Uebersetzungen!$B$3:$E$60,Uebersetzungen!$B$2+1,FALSE)</f>
        <v>*  Inklusive Personen, deren Migrationsstatus nicht bestimmbar ist</v>
      </c>
    </row>
    <row r="46" spans="1:15" x14ac:dyDescent="0.2">
      <c r="A46" s="13" t="str">
        <f>VLOOKUP("&lt;Legende_2&gt;",Uebersetzungen!$B$3:$E$60,Uebersetzungen!$B$2+1,FALSE)</f>
        <v>** Grenzen des 95%-Vertrauensintervalls</v>
      </c>
    </row>
    <row r="47" spans="1:15" x14ac:dyDescent="0.2">
      <c r="A47" s="13" t="str">
        <f>VLOOKUP("&lt;Legende_3&gt;",Uebersetzungen!$B$3:$E$60,Uebersetzungen!$B$2+1,FALSE)</f>
        <v>(Zahl): Statistisch nur bedingt zuverlässig</v>
      </c>
    </row>
    <row r="48" spans="1:15" x14ac:dyDescent="0.2">
      <c r="A48" s="13" t="str">
        <f>VLOOKUP("&lt;Legende_4&gt;",Uebersetzungen!$B$3:$E$60,Uebersetzungen!$B$2+1,FALSE)</f>
        <v xml:space="preserve">X: Extrapolation auf weniger als 5 Beobachtungen beruhend; die Ergebnisse werden aus Datenschutzgründen nicht publiziert </v>
      </c>
    </row>
    <row r="49" spans="1:2" x14ac:dyDescent="0.2">
      <c r="A49" s="7"/>
    </row>
    <row r="50" spans="1:2" x14ac:dyDescent="0.2">
      <c r="A50" s="7" t="str">
        <f>VLOOKUP("&lt;Quelle_1&gt;",Uebersetzungen!$B$3:$E$60,Uebersetzungen!$B$2+1,FALSE)</f>
        <v>Quelle: BFS (SAKE)</v>
      </c>
    </row>
    <row r="51" spans="1:2" x14ac:dyDescent="0.2">
      <c r="A51" s="13" t="str">
        <f>VLOOKUP("&lt;Aktualisierung&gt;",Uebersetzungen!$B$3:$E$60,Uebersetzungen!$B$2+1,FALSE)</f>
        <v>Letztmals aktualisiert am: 10.10.2024</v>
      </c>
    </row>
    <row r="52" spans="1:2" x14ac:dyDescent="0.2">
      <c r="B52" s="9"/>
    </row>
    <row r="54" spans="1:2" x14ac:dyDescent="0.2">
      <c r="B54" s="10"/>
    </row>
  </sheetData>
  <sheetProtection sheet="1" objects="1" scenarios="1"/>
  <mergeCells count="16">
    <mergeCell ref="M15:M16"/>
    <mergeCell ref="N15:N16"/>
    <mergeCell ref="O15:O16"/>
    <mergeCell ref="A15:A16"/>
    <mergeCell ref="A7:D7"/>
    <mergeCell ref="B12:O12"/>
    <mergeCell ref="B14:C15"/>
    <mergeCell ref="D14:E15"/>
    <mergeCell ref="F15:G15"/>
    <mergeCell ref="H15:I15"/>
    <mergeCell ref="J15:K15"/>
    <mergeCell ref="F14:K14"/>
    <mergeCell ref="B13:K13"/>
    <mergeCell ref="L14:L16"/>
    <mergeCell ref="M14:O14"/>
    <mergeCell ref="L13:O13"/>
  </mergeCells>
  <pageMargins left="0.7" right="0.7" top="0.78740157499999996" bottom="0.78740157499999996" header="0.3" footer="0.3"/>
  <pageSetup paperSize="9" scale="3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6</xdr:col>
                    <xdr:colOff>0</xdr:colOff>
                    <xdr:row>1</xdr:row>
                    <xdr:rowOff>123825</xdr:rowOff>
                  </from>
                  <to>
                    <xdr:col>7</xdr:col>
                    <xdr:colOff>276225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104775</xdr:rowOff>
                  </from>
                  <to>
                    <xdr:col>7</xdr:col>
                    <xdr:colOff>666750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66675</xdr:rowOff>
                  </from>
                  <to>
                    <xdr:col>7</xdr:col>
                    <xdr:colOff>276225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5" workbookViewId="0">
      <selection activeCell="E60" sqref="E60"/>
    </sheetView>
  </sheetViews>
  <sheetFormatPr baseColWidth="10" defaultColWidth="11" defaultRowHeight="12.75" x14ac:dyDescent="0.2"/>
  <cols>
    <col min="1" max="1" width="7.5" style="20" bestFit="1" customWidth="1"/>
    <col min="2" max="2" width="15.5" style="20" bestFit="1" customWidth="1"/>
    <col min="3" max="3" width="40.875" style="20" bestFit="1" customWidth="1"/>
    <col min="4" max="4" width="41.625" style="20" bestFit="1" customWidth="1"/>
    <col min="5" max="5" width="41.125" style="20" bestFit="1" customWidth="1"/>
    <col min="6" max="16384" width="11" style="20"/>
  </cols>
  <sheetData>
    <row r="1" spans="1:6" x14ac:dyDescent="0.2">
      <c r="A1" s="14" t="s">
        <v>28</v>
      </c>
      <c r="B1" s="14" t="s">
        <v>29</v>
      </c>
      <c r="C1" s="14" t="s">
        <v>30</v>
      </c>
      <c r="D1" s="14" t="s">
        <v>31</v>
      </c>
      <c r="E1" s="14" t="s">
        <v>32</v>
      </c>
      <c r="F1" s="15"/>
    </row>
    <row r="2" spans="1:6" x14ac:dyDescent="0.2">
      <c r="A2" s="21" t="s">
        <v>33</v>
      </c>
      <c r="B2" s="22">
        <v>1</v>
      </c>
      <c r="C2" s="15"/>
      <c r="D2" s="15"/>
      <c r="E2" s="15"/>
      <c r="F2" s="15"/>
    </row>
    <row r="3" spans="1:6" x14ac:dyDescent="0.2">
      <c r="A3" s="21"/>
      <c r="B3" s="20" t="s">
        <v>35</v>
      </c>
      <c r="C3" s="16" t="s">
        <v>36</v>
      </c>
      <c r="D3" s="16" t="s">
        <v>37</v>
      </c>
      <c r="E3" s="16" t="s">
        <v>38</v>
      </c>
      <c r="F3" s="15"/>
    </row>
    <row r="4" spans="1:6" x14ac:dyDescent="0.2">
      <c r="A4" s="21" t="s">
        <v>34</v>
      </c>
      <c r="B4" s="17" t="s">
        <v>39</v>
      </c>
      <c r="C4" s="17" t="s">
        <v>136</v>
      </c>
      <c r="D4" s="17" t="s">
        <v>157</v>
      </c>
      <c r="E4" s="17" t="s">
        <v>158</v>
      </c>
      <c r="F4" s="15"/>
    </row>
    <row r="5" spans="1:6" x14ac:dyDescent="0.2">
      <c r="A5" s="21"/>
      <c r="B5" s="20" t="s">
        <v>56</v>
      </c>
      <c r="C5" s="16" t="s">
        <v>133</v>
      </c>
      <c r="D5" s="16" t="s">
        <v>134</v>
      </c>
      <c r="E5" s="16" t="s">
        <v>135</v>
      </c>
      <c r="F5" s="15"/>
    </row>
    <row r="6" spans="1:6" x14ac:dyDescent="0.2">
      <c r="A6" s="21"/>
      <c r="B6" s="21"/>
      <c r="C6" s="21"/>
      <c r="D6" s="21"/>
      <c r="E6" s="21"/>
      <c r="F6" s="15"/>
    </row>
    <row r="7" spans="1:6" ht="14.25" customHeight="1" x14ac:dyDescent="0.2">
      <c r="A7" s="21" t="s">
        <v>77</v>
      </c>
      <c r="B7" s="20" t="s">
        <v>137</v>
      </c>
      <c r="C7" s="16" t="s">
        <v>139</v>
      </c>
      <c r="D7" s="16" t="s">
        <v>155</v>
      </c>
      <c r="E7" s="16" t="s">
        <v>154</v>
      </c>
      <c r="F7" s="15"/>
    </row>
    <row r="8" spans="1:6" x14ac:dyDescent="0.2">
      <c r="A8" s="21"/>
      <c r="B8" s="20" t="s">
        <v>138</v>
      </c>
      <c r="C8" s="16" t="s">
        <v>140</v>
      </c>
      <c r="D8" s="16" t="s">
        <v>156</v>
      </c>
      <c r="E8" s="16" t="s">
        <v>140</v>
      </c>
      <c r="F8" s="15"/>
    </row>
    <row r="9" spans="1:6" x14ac:dyDescent="0.2">
      <c r="A9" s="21"/>
      <c r="B9" s="21"/>
      <c r="C9" s="21"/>
      <c r="D9" s="21"/>
      <c r="E9" s="21"/>
      <c r="F9" s="15"/>
    </row>
    <row r="10" spans="1:6" x14ac:dyDescent="0.2">
      <c r="A10" s="21"/>
      <c r="B10" s="21"/>
      <c r="C10" s="21"/>
      <c r="D10" s="21"/>
      <c r="E10" s="21"/>
      <c r="F10" s="15"/>
    </row>
    <row r="11" spans="1:6" ht="14.25" customHeight="1" x14ac:dyDescent="0.2">
      <c r="A11" s="21" t="s">
        <v>77</v>
      </c>
      <c r="B11" s="20" t="s">
        <v>40</v>
      </c>
      <c r="C11" s="16" t="s">
        <v>141</v>
      </c>
      <c r="D11" s="16" t="s">
        <v>141</v>
      </c>
      <c r="E11" s="16" t="s">
        <v>161</v>
      </c>
      <c r="F11" s="15"/>
    </row>
    <row r="12" spans="1:6" ht="12.75" customHeight="1" x14ac:dyDescent="0.2">
      <c r="A12" s="21"/>
      <c r="B12" s="20" t="s">
        <v>41</v>
      </c>
      <c r="C12" s="16" t="s">
        <v>142</v>
      </c>
      <c r="D12" s="16" t="s">
        <v>163</v>
      </c>
      <c r="E12" s="16" t="s">
        <v>159</v>
      </c>
      <c r="F12" s="15"/>
    </row>
    <row r="13" spans="1:6" x14ac:dyDescent="0.2">
      <c r="A13" s="21"/>
      <c r="B13" s="20" t="s">
        <v>42</v>
      </c>
      <c r="C13" s="16" t="s">
        <v>143</v>
      </c>
      <c r="D13" s="16" t="s">
        <v>162</v>
      </c>
      <c r="E13" s="16" t="s">
        <v>160</v>
      </c>
      <c r="F13" s="15"/>
    </row>
    <row r="14" spans="1:6" x14ac:dyDescent="0.2">
      <c r="A14" s="21"/>
      <c r="B14" s="20" t="s">
        <v>128</v>
      </c>
      <c r="C14" s="16" t="s">
        <v>176</v>
      </c>
      <c r="D14" s="16" t="s">
        <v>163</v>
      </c>
      <c r="E14" s="16" t="s">
        <v>159</v>
      </c>
      <c r="F14" s="15"/>
    </row>
    <row r="15" spans="1:6" x14ac:dyDescent="0.2">
      <c r="A15" s="21"/>
      <c r="B15" s="20" t="s">
        <v>129</v>
      </c>
      <c r="C15" s="16" t="s">
        <v>143</v>
      </c>
      <c r="D15" s="16" t="s">
        <v>162</v>
      </c>
      <c r="E15" s="16" t="s">
        <v>160</v>
      </c>
      <c r="F15" s="15"/>
    </row>
    <row r="16" spans="1:6" x14ac:dyDescent="0.2">
      <c r="A16" s="21"/>
      <c r="B16" s="21"/>
      <c r="C16" s="21"/>
      <c r="D16" s="21"/>
      <c r="E16" s="21"/>
      <c r="F16" s="21"/>
    </row>
    <row r="17" spans="1:6" x14ac:dyDescent="0.2">
      <c r="A17" s="21"/>
      <c r="B17" s="20" t="s">
        <v>78</v>
      </c>
      <c r="C17" s="16" t="s">
        <v>1</v>
      </c>
      <c r="D17" s="16" t="s">
        <v>126</v>
      </c>
      <c r="E17" s="16" t="s">
        <v>83</v>
      </c>
      <c r="F17" s="15"/>
    </row>
    <row r="18" spans="1:6" x14ac:dyDescent="0.2">
      <c r="A18" s="21"/>
      <c r="B18" s="20" t="s">
        <v>79</v>
      </c>
      <c r="C18" s="16" t="s">
        <v>146</v>
      </c>
      <c r="D18" s="16" t="s">
        <v>177</v>
      </c>
      <c r="E18" s="16" t="s">
        <v>178</v>
      </c>
      <c r="F18" s="15"/>
    </row>
    <row r="19" spans="1:6" x14ac:dyDescent="0.2">
      <c r="A19" s="21"/>
      <c r="B19" s="20" t="s">
        <v>80</v>
      </c>
      <c r="C19" s="16" t="s">
        <v>144</v>
      </c>
      <c r="D19" s="16" t="s">
        <v>166</v>
      </c>
      <c r="E19" s="16" t="s">
        <v>164</v>
      </c>
      <c r="F19" s="15"/>
    </row>
    <row r="20" spans="1:6" x14ac:dyDescent="0.2">
      <c r="A20" s="21"/>
      <c r="B20" s="20" t="s">
        <v>81</v>
      </c>
      <c r="C20" s="16" t="s">
        <v>145</v>
      </c>
      <c r="D20" s="16" t="s">
        <v>167</v>
      </c>
      <c r="E20" s="16" t="s">
        <v>165</v>
      </c>
      <c r="F20" s="15"/>
    </row>
    <row r="21" spans="1:6" x14ac:dyDescent="0.2">
      <c r="A21" s="21"/>
      <c r="B21" s="20" t="s">
        <v>127</v>
      </c>
      <c r="C21" s="16" t="s">
        <v>0</v>
      </c>
      <c r="D21" s="16" t="s">
        <v>0</v>
      </c>
      <c r="E21" s="16" t="s">
        <v>82</v>
      </c>
      <c r="F21" s="15"/>
    </row>
    <row r="22" spans="1:6" x14ac:dyDescent="0.2">
      <c r="A22" s="21"/>
      <c r="B22" s="20" t="s">
        <v>130</v>
      </c>
      <c r="C22" s="16" t="s">
        <v>144</v>
      </c>
      <c r="D22" s="16" t="s">
        <v>166</v>
      </c>
      <c r="E22" s="16" t="s">
        <v>164</v>
      </c>
      <c r="F22" s="15"/>
    </row>
    <row r="23" spans="1:6" x14ac:dyDescent="0.2">
      <c r="A23" s="21"/>
      <c r="B23" s="20" t="s">
        <v>131</v>
      </c>
      <c r="C23" s="16" t="s">
        <v>145</v>
      </c>
      <c r="D23" s="16" t="s">
        <v>167</v>
      </c>
      <c r="E23" s="16" t="s">
        <v>165</v>
      </c>
      <c r="F23" s="15"/>
    </row>
    <row r="24" spans="1:6" x14ac:dyDescent="0.2">
      <c r="A24" s="21"/>
      <c r="B24" s="20" t="s">
        <v>132</v>
      </c>
      <c r="C24" s="16" t="s">
        <v>0</v>
      </c>
      <c r="D24" s="16" t="s">
        <v>0</v>
      </c>
      <c r="E24" s="16" t="s">
        <v>82</v>
      </c>
      <c r="F24" s="15"/>
    </row>
    <row r="25" spans="1:6" x14ac:dyDescent="0.2">
      <c r="A25" s="21"/>
      <c r="B25" s="15"/>
      <c r="C25" s="15"/>
      <c r="D25" s="15"/>
      <c r="E25" s="15"/>
      <c r="F25" s="15"/>
    </row>
    <row r="26" spans="1:6" x14ac:dyDescent="0.2">
      <c r="A26" s="21" t="s">
        <v>34</v>
      </c>
      <c r="B26" s="20" t="s">
        <v>43</v>
      </c>
      <c r="C26" s="16" t="s">
        <v>0</v>
      </c>
      <c r="D26" s="16" t="s">
        <v>0</v>
      </c>
      <c r="E26" s="16" t="s">
        <v>82</v>
      </c>
      <c r="F26" s="15"/>
    </row>
    <row r="27" spans="1:6" x14ac:dyDescent="0.2">
      <c r="A27" s="15"/>
      <c r="B27" s="20" t="s">
        <v>44</v>
      </c>
      <c r="C27" s="16" t="s">
        <v>2</v>
      </c>
      <c r="D27" s="16" t="s">
        <v>116</v>
      </c>
      <c r="E27" s="16" t="s">
        <v>84</v>
      </c>
      <c r="F27" s="15"/>
    </row>
    <row r="28" spans="1:6" x14ac:dyDescent="0.2">
      <c r="A28" s="15"/>
      <c r="B28" s="20" t="s">
        <v>45</v>
      </c>
      <c r="C28" s="16" t="s">
        <v>20</v>
      </c>
      <c r="D28" s="16" t="s">
        <v>85</v>
      </c>
      <c r="E28" s="16" t="s">
        <v>85</v>
      </c>
      <c r="F28" s="15"/>
    </row>
    <row r="29" spans="1:6" x14ac:dyDescent="0.2">
      <c r="A29" s="15"/>
      <c r="B29" s="20" t="s">
        <v>46</v>
      </c>
      <c r="C29" s="16" t="s">
        <v>3</v>
      </c>
      <c r="D29" s="16" t="s">
        <v>86</v>
      </c>
      <c r="E29" s="16" t="s">
        <v>86</v>
      </c>
      <c r="F29" s="15"/>
    </row>
    <row r="30" spans="1:6" x14ac:dyDescent="0.2">
      <c r="A30" s="15"/>
      <c r="B30" s="20" t="s">
        <v>47</v>
      </c>
      <c r="C30" s="16" t="s">
        <v>4</v>
      </c>
      <c r="D30" s="16" t="s">
        <v>4</v>
      </c>
      <c r="E30" s="16" t="s">
        <v>4</v>
      </c>
      <c r="F30" s="15"/>
    </row>
    <row r="31" spans="1:6" x14ac:dyDescent="0.2">
      <c r="A31" s="15"/>
      <c r="B31" s="20" t="s">
        <v>48</v>
      </c>
      <c r="C31" s="16" t="s">
        <v>5</v>
      </c>
      <c r="D31" s="16" t="s">
        <v>109</v>
      </c>
      <c r="E31" s="16" t="s">
        <v>87</v>
      </c>
      <c r="F31" s="15"/>
    </row>
    <row r="32" spans="1:6" x14ac:dyDescent="0.2">
      <c r="A32" s="15"/>
      <c r="B32" s="20" t="s">
        <v>49</v>
      </c>
      <c r="C32" s="16" t="s">
        <v>6</v>
      </c>
      <c r="D32" s="16" t="s">
        <v>115</v>
      </c>
      <c r="E32" s="16" t="s">
        <v>88</v>
      </c>
      <c r="F32" s="15"/>
    </row>
    <row r="33" spans="1:6" x14ac:dyDescent="0.2">
      <c r="A33" s="15"/>
      <c r="B33" s="20" t="s">
        <v>50</v>
      </c>
      <c r="C33" s="16" t="s">
        <v>7</v>
      </c>
      <c r="D33" s="16" t="s">
        <v>114</v>
      </c>
      <c r="E33" s="16" t="s">
        <v>89</v>
      </c>
      <c r="F33" s="15"/>
    </row>
    <row r="34" spans="1:6" x14ac:dyDescent="0.2">
      <c r="A34" s="15"/>
      <c r="B34" s="20" t="s">
        <v>57</v>
      </c>
      <c r="C34" s="16" t="s">
        <v>8</v>
      </c>
      <c r="D34" s="16" t="s">
        <v>112</v>
      </c>
      <c r="E34" s="16" t="s">
        <v>90</v>
      </c>
      <c r="F34" s="15"/>
    </row>
    <row r="35" spans="1:6" x14ac:dyDescent="0.2">
      <c r="A35" s="15"/>
      <c r="B35" s="20" t="s">
        <v>58</v>
      </c>
      <c r="C35" s="16" t="s">
        <v>9</v>
      </c>
      <c r="D35" s="16" t="s">
        <v>9</v>
      </c>
      <c r="E35" s="16" t="s">
        <v>91</v>
      </c>
      <c r="F35" s="15"/>
    </row>
    <row r="36" spans="1:6" x14ac:dyDescent="0.2">
      <c r="A36" s="15"/>
      <c r="B36" s="20" t="s">
        <v>59</v>
      </c>
      <c r="C36" s="16" t="s">
        <v>21</v>
      </c>
      <c r="D36" s="16" t="s">
        <v>111</v>
      </c>
      <c r="E36" s="16" t="s">
        <v>92</v>
      </c>
      <c r="F36" s="15"/>
    </row>
    <row r="37" spans="1:6" x14ac:dyDescent="0.2">
      <c r="A37" s="15"/>
      <c r="B37" s="20" t="s">
        <v>60</v>
      </c>
      <c r="C37" s="16" t="s">
        <v>10</v>
      </c>
      <c r="D37" s="16" t="s">
        <v>110</v>
      </c>
      <c r="E37" s="16" t="s">
        <v>93</v>
      </c>
      <c r="F37" s="15"/>
    </row>
    <row r="38" spans="1:6" x14ac:dyDescent="0.2">
      <c r="A38" s="15"/>
      <c r="B38" s="20" t="s">
        <v>61</v>
      </c>
      <c r="C38" s="16" t="s">
        <v>11</v>
      </c>
      <c r="D38" s="16" t="s">
        <v>117</v>
      </c>
      <c r="E38" s="16" t="s">
        <v>94</v>
      </c>
      <c r="F38" s="15"/>
    </row>
    <row r="39" spans="1:6" x14ac:dyDescent="0.2">
      <c r="A39" s="15"/>
      <c r="B39" s="20" t="s">
        <v>62</v>
      </c>
      <c r="C39" s="16" t="s">
        <v>12</v>
      </c>
      <c r="D39" s="16" t="s">
        <v>118</v>
      </c>
      <c r="E39" s="16" t="s">
        <v>95</v>
      </c>
      <c r="F39" s="15"/>
    </row>
    <row r="40" spans="1:6" x14ac:dyDescent="0.2">
      <c r="A40" s="15"/>
      <c r="B40" s="20" t="s">
        <v>63</v>
      </c>
      <c r="C40" s="16" t="s">
        <v>13</v>
      </c>
      <c r="D40" s="16" t="s">
        <v>113</v>
      </c>
      <c r="E40" s="16" t="s">
        <v>96</v>
      </c>
      <c r="F40" s="15"/>
    </row>
    <row r="41" spans="1:6" x14ac:dyDescent="0.2">
      <c r="A41" s="15"/>
      <c r="B41" s="20" t="s">
        <v>64</v>
      </c>
      <c r="C41" s="16" t="s">
        <v>14</v>
      </c>
      <c r="D41" s="16" t="s">
        <v>119</v>
      </c>
      <c r="E41" s="16" t="s">
        <v>97</v>
      </c>
      <c r="F41" s="15"/>
    </row>
    <row r="42" spans="1:6" x14ac:dyDescent="0.2">
      <c r="A42" s="15"/>
      <c r="B42" s="20" t="s">
        <v>65</v>
      </c>
      <c r="C42" s="16" t="s">
        <v>15</v>
      </c>
      <c r="D42" s="16" t="s">
        <v>120</v>
      </c>
      <c r="E42" s="16" t="s">
        <v>98</v>
      </c>
      <c r="F42" s="15"/>
    </row>
    <row r="43" spans="1:6" x14ac:dyDescent="0.2">
      <c r="A43" s="15"/>
      <c r="B43" s="20" t="s">
        <v>66</v>
      </c>
      <c r="C43" s="16" t="s">
        <v>16</v>
      </c>
      <c r="D43" s="16" t="s">
        <v>121</v>
      </c>
      <c r="E43" s="16" t="s">
        <v>99</v>
      </c>
      <c r="F43" s="15"/>
    </row>
    <row r="44" spans="1:6" x14ac:dyDescent="0.2">
      <c r="A44" s="15"/>
      <c r="B44" s="20" t="s">
        <v>67</v>
      </c>
      <c r="C44" s="16" t="s">
        <v>22</v>
      </c>
      <c r="D44" s="16" t="s">
        <v>125</v>
      </c>
      <c r="E44" s="16" t="s">
        <v>100</v>
      </c>
      <c r="F44" s="15"/>
    </row>
    <row r="45" spans="1:6" x14ac:dyDescent="0.2">
      <c r="A45" s="15"/>
      <c r="B45" s="20" t="s">
        <v>68</v>
      </c>
      <c r="C45" s="16" t="s">
        <v>17</v>
      </c>
      <c r="D45" s="16" t="s">
        <v>101</v>
      </c>
      <c r="E45" s="16" t="s">
        <v>101</v>
      </c>
      <c r="F45" s="15"/>
    </row>
    <row r="46" spans="1:6" x14ac:dyDescent="0.2">
      <c r="A46" s="15"/>
      <c r="B46" s="20" t="s">
        <v>69</v>
      </c>
      <c r="C46" s="16" t="s">
        <v>18</v>
      </c>
      <c r="D46" s="16" t="s">
        <v>102</v>
      </c>
      <c r="E46" s="16" t="s">
        <v>102</v>
      </c>
      <c r="F46" s="15"/>
    </row>
    <row r="47" spans="1:6" x14ac:dyDescent="0.2">
      <c r="A47" s="15"/>
      <c r="B47" s="20" t="s">
        <v>70</v>
      </c>
      <c r="C47" s="16" t="s">
        <v>24</v>
      </c>
      <c r="D47" s="16" t="s">
        <v>24</v>
      </c>
      <c r="E47" s="16" t="s">
        <v>103</v>
      </c>
      <c r="F47" s="15"/>
    </row>
    <row r="48" spans="1:6" x14ac:dyDescent="0.2">
      <c r="A48" s="15"/>
      <c r="B48" s="20" t="s">
        <v>71</v>
      </c>
      <c r="C48" s="16" t="s">
        <v>25</v>
      </c>
      <c r="D48" s="16" t="s">
        <v>124</v>
      </c>
      <c r="E48" s="16" t="s">
        <v>104</v>
      </c>
      <c r="F48" s="15"/>
    </row>
    <row r="49" spans="1:6" x14ac:dyDescent="0.2">
      <c r="A49" s="15"/>
      <c r="B49" s="20" t="s">
        <v>72</v>
      </c>
      <c r="C49" s="16" t="s">
        <v>23</v>
      </c>
      <c r="D49" s="16" t="s">
        <v>123</v>
      </c>
      <c r="E49" s="16" t="s">
        <v>105</v>
      </c>
      <c r="F49" s="15"/>
    </row>
    <row r="50" spans="1:6" x14ac:dyDescent="0.2">
      <c r="A50" s="15"/>
      <c r="B50" s="20" t="s">
        <v>73</v>
      </c>
      <c r="C50" s="16" t="s">
        <v>26</v>
      </c>
      <c r="D50" s="16" t="s">
        <v>106</v>
      </c>
      <c r="E50" s="16" t="s">
        <v>106</v>
      </c>
      <c r="F50" s="15"/>
    </row>
    <row r="51" spans="1:6" x14ac:dyDescent="0.2">
      <c r="A51" s="15"/>
      <c r="B51" s="20" t="s">
        <v>74</v>
      </c>
      <c r="C51" s="16" t="s">
        <v>27</v>
      </c>
      <c r="D51" s="16" t="s">
        <v>122</v>
      </c>
      <c r="E51" s="16" t="s">
        <v>107</v>
      </c>
      <c r="F51" s="15"/>
    </row>
    <row r="52" spans="1:6" x14ac:dyDescent="0.2">
      <c r="A52" s="15"/>
      <c r="B52" s="20" t="s">
        <v>75</v>
      </c>
      <c r="C52" s="16" t="s">
        <v>19</v>
      </c>
      <c r="D52" s="16" t="s">
        <v>108</v>
      </c>
      <c r="E52" s="16" t="s">
        <v>108</v>
      </c>
      <c r="F52" s="15"/>
    </row>
    <row r="53" spans="1:6" x14ac:dyDescent="0.2">
      <c r="A53" s="15"/>
      <c r="B53" s="15"/>
      <c r="C53" s="15"/>
      <c r="D53" s="15"/>
      <c r="E53" s="15"/>
      <c r="F53" s="15"/>
    </row>
    <row r="54" spans="1:6" ht="25.5" x14ac:dyDescent="0.2">
      <c r="A54" s="21"/>
      <c r="B54" s="20" t="s">
        <v>51</v>
      </c>
      <c r="C54" s="16" t="s">
        <v>148</v>
      </c>
      <c r="D54" s="16" t="s">
        <v>169</v>
      </c>
      <c r="E54" s="18" t="s">
        <v>174</v>
      </c>
      <c r="F54" s="15"/>
    </row>
    <row r="55" spans="1:6" x14ac:dyDescent="0.2">
      <c r="A55" s="15"/>
      <c r="B55" s="20" t="s">
        <v>52</v>
      </c>
      <c r="C55" s="16" t="s">
        <v>147</v>
      </c>
      <c r="D55" s="16" t="s">
        <v>168</v>
      </c>
      <c r="E55" s="18" t="s">
        <v>172</v>
      </c>
      <c r="F55" s="15"/>
    </row>
    <row r="56" spans="1:6" x14ac:dyDescent="0.2">
      <c r="A56" s="15"/>
      <c r="B56" s="20" t="s">
        <v>53</v>
      </c>
      <c r="C56" s="16" t="s">
        <v>149</v>
      </c>
      <c r="D56" s="16" t="s">
        <v>170</v>
      </c>
      <c r="E56" s="16" t="s">
        <v>175</v>
      </c>
      <c r="F56" s="15"/>
    </row>
    <row r="57" spans="1:6" ht="12.75" customHeight="1" x14ac:dyDescent="0.2">
      <c r="A57" s="15"/>
      <c r="B57" s="20" t="s">
        <v>54</v>
      </c>
      <c r="C57" s="16" t="s">
        <v>150</v>
      </c>
      <c r="D57" s="16" t="s">
        <v>171</v>
      </c>
      <c r="E57" s="16" t="s">
        <v>173</v>
      </c>
      <c r="F57" s="15"/>
    </row>
    <row r="58" spans="1:6" x14ac:dyDescent="0.2">
      <c r="A58" s="15"/>
      <c r="B58" s="15"/>
      <c r="C58" s="15"/>
      <c r="D58" s="15"/>
      <c r="E58" s="15"/>
      <c r="F58" s="15"/>
    </row>
    <row r="59" spans="1:6" x14ac:dyDescent="0.2">
      <c r="A59" s="15" t="s">
        <v>77</v>
      </c>
      <c r="B59" s="20" t="s">
        <v>76</v>
      </c>
      <c r="C59" s="16" t="s">
        <v>151</v>
      </c>
      <c r="D59" s="16" t="s">
        <v>152</v>
      </c>
      <c r="E59" s="16" t="s">
        <v>153</v>
      </c>
      <c r="F59" s="15"/>
    </row>
    <row r="60" spans="1:6" x14ac:dyDescent="0.2">
      <c r="A60" s="15" t="s">
        <v>34</v>
      </c>
      <c r="B60" s="23" t="s">
        <v>55</v>
      </c>
      <c r="C60" s="19" t="s">
        <v>179</v>
      </c>
      <c r="D60" s="19" t="s">
        <v>180</v>
      </c>
      <c r="E60" s="19" t="s">
        <v>181</v>
      </c>
      <c r="F60" s="15"/>
    </row>
    <row r="61" spans="1:6" x14ac:dyDescent="0.2">
      <c r="A61" s="15"/>
      <c r="B61" s="15"/>
      <c r="C61" s="15"/>
      <c r="D61" s="15"/>
      <c r="E61" s="15"/>
      <c r="F61" s="15"/>
    </row>
    <row r="62" spans="1:6" x14ac:dyDescent="0.2">
      <c r="A62" s="21"/>
      <c r="B62" s="22"/>
      <c r="C62" s="15"/>
      <c r="D62" s="15"/>
      <c r="E62" s="15"/>
      <c r="F62" s="1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1021</Benutzerdefinierte_x0020_ID>
    <Titel_RM xmlns="9d1f6504-c754-4527-a358-047ce8521f96">Populaziun tenor status da migraziun (Enquista da las forzas da lavur), chantuns, 2023</Titel_RM>
    <Titel_DE xmlns="9d1f6504-c754-4527-a358-047ce8521f96">Bevölkerung nach Migrationsstatus (Arbeitskräfteerhebung), Kantone, 2023</Titel_DE>
    <PublishingExpirationDate xmlns="http://schemas.microsoft.com/sharepoint/v3" xsi:nil="true"/>
    <Kategorie xmlns="9d1f6504-c754-4527-a358-047ce8521f96">Migration und Integration</Kategorie>
    <PublishingStartDate xmlns="http://schemas.microsoft.com/sharepoint/v3" xsi:nil="true"/>
    <Titel_IT xmlns="9d1f6504-c754-4527-a358-047ce8521f96">Popolazione secondo lo statuto migratorio (Rilevazione sulle forze di lavoro), Cantoni, 2023</Titel_IT>
  </documentManagement>
</p:properties>
</file>

<file path=customXml/itemProps1.xml><?xml version="1.0" encoding="utf-8"?>
<ds:datastoreItem xmlns:ds="http://schemas.openxmlformats.org/officeDocument/2006/customXml" ds:itemID="{A5F49474-F63E-4CFF-8837-230B587C0E6E}"/>
</file>

<file path=customXml/itemProps2.xml><?xml version="1.0" encoding="utf-8"?>
<ds:datastoreItem xmlns:ds="http://schemas.openxmlformats.org/officeDocument/2006/customXml" ds:itemID="{3624EF05-7FB6-417C-AA1D-3B60AA61D20E}"/>
</file>

<file path=customXml/itemProps3.xml><?xml version="1.0" encoding="utf-8"?>
<ds:datastoreItem xmlns:ds="http://schemas.openxmlformats.org/officeDocument/2006/customXml" ds:itemID="{490D31F0-30B3-4950-82A3-DEE91EA65B7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Kantone</vt:lpstr>
      <vt:lpstr>Uebersetzungen</vt:lpstr>
      <vt:lpstr>Kantone!Druckbereich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 nach Migrationsstatus Kantone</dc:title>
  <dc:creator>Luzius.Stricker@awt.gr.ch</dc:creator>
  <cp:lastModifiedBy>Stricker Luzius</cp:lastModifiedBy>
  <cp:lastPrinted>2018-12-06T18:35:59Z</cp:lastPrinted>
  <dcterms:created xsi:type="dcterms:W3CDTF">2012-06-17T15:40:31Z</dcterms:created>
  <dcterms:modified xsi:type="dcterms:W3CDTF">2024-10-10T08:53:30Z</dcterms:modified>
  <cp:category>SAKE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0x01010095A83D2D9087C0499BBDDADFE9564913</vt:lpwstr>
  </property>
</Properties>
</file>